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<sst xmlns="http://schemas.openxmlformats.org/spreadsheetml/2006/main" count="1191" uniqueCount="558">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</sst>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31" fillId="24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1" fillId="24" borderId="79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6" fillId="24" borderId="82" xfId="0" applyFont="1" applyFill="1" applyBorder="1" applyAlignment="1" applyProtection="1">
      <alignment horizontal="left" vertical="center"/>
      <protection/>
    </xf>
    <xf numFmtId="0" fontId="26" fillId="24" borderId="83" xfId="0" applyFont="1" applyFill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4" xfId="0" applyBorder="1" applyAlignment="1" applyProtection="1">
      <alignment horizontal="left" vertical="center"/>
      <protection/>
    </xf>
    <xf numFmtId="0" fontId="21" fillId="4" borderId="85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87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79" xfId="0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1" fillId="24" borderId="83" xfId="0" applyFont="1" applyFill="1" applyBorder="1" applyAlignment="1" applyProtection="1">
      <alignment horizontal="left" vertical="center" wrapText="1"/>
      <protection/>
    </xf>
    <xf numFmtId="0" fontId="31" fillId="24" borderId="83" xfId="0" applyFont="1" applyFill="1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57" fillId="4" borderId="90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1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23" fillId="4" borderId="94" xfId="0" applyFont="1" applyFill="1" applyBorder="1" applyAlignment="1" applyProtection="1">
      <alignment horizontal="center"/>
      <protection/>
    </xf>
    <xf numFmtId="0" fontId="0" fillId="4" borderId="86" xfId="0" applyFill="1" applyBorder="1" applyAlignment="1" applyProtection="1">
      <alignment horizontal="center"/>
      <protection/>
    </xf>
    <xf numFmtId="0" fontId="0" fillId="4" borderId="95" xfId="0" applyFill="1" applyBorder="1" applyAlignment="1" applyProtection="1">
      <alignment horizontal="center"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0" fillId="4" borderId="87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left" vertical="center"/>
      <protection/>
    </xf>
    <xf numFmtId="0" fontId="0" fillId="4" borderId="87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376104.1299205649</c:v>
                </c:pt>
                <c:pt idx="1">
                  <c:v>401447.9453774239</c:v>
                </c:pt>
                <c:pt idx="2">
                  <c:v>426053.5914520444</c:v>
                </c:pt>
                <c:pt idx="3">
                  <c:v>449942.56822352053</c:v>
                </c:pt>
                <c:pt idx="4">
                  <c:v>473135.74955505074</c:v>
                </c:pt>
                <c:pt idx="5">
                  <c:v>495653.4013332355</c:v>
                </c:pt>
                <c:pt idx="6">
                  <c:v>517515.1991761334</c:v>
                </c:pt>
                <c:pt idx="7">
                  <c:v>538740.2456255485</c:v>
                </c:pt>
                <c:pt idx="8">
                  <c:v>559347.0868385732</c:v>
                </c:pt>
                <c:pt idx="9">
                  <c:v>579353.728792966</c:v>
                </c:pt>
                <c:pt idx="10">
                  <c:v>598777.6530205319</c:v>
                </c:pt>
                <c:pt idx="11">
                  <c:v>617635.8318822462</c:v>
                </c:pt>
                <c:pt idx="12">
                  <c:v>711972.960508712</c:v>
                </c:pt>
                <c:pt idx="13">
                  <c:v>729748.6027574767</c:v>
                </c:pt>
                <c:pt idx="14">
                  <c:v>747006.5078533648</c:v>
                </c:pt>
                <c:pt idx="15">
                  <c:v>763761.7555192753</c:v>
                </c:pt>
                <c:pt idx="16">
                  <c:v>780028.9862628779</c:v>
                </c:pt>
                <c:pt idx="17">
                  <c:v>795822.4141692882</c:v>
                </c:pt>
                <c:pt idx="18">
                  <c:v>811155.8393211429</c:v>
                </c:pt>
                <c:pt idx="19">
                  <c:v>826042.6598569241</c:v>
                </c:pt>
                <c:pt idx="20">
                  <c:v>840495.8836780707</c:v>
                </c:pt>
                <c:pt idx="21">
                  <c:v>854528.1398151066</c:v>
                </c:pt>
                <c:pt idx="22">
                  <c:v>868151.6894627141</c:v>
                </c:pt>
                <c:pt idx="23">
                  <c:v>881378.4366934011</c:v>
                </c:pt>
                <c:pt idx="24">
                  <c:v>894219.9388591164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112301.81303570313</c:v>
                </c:pt>
                <c:pt idx="1">
                  <c:v>138808.42763347307</c:v>
                </c:pt>
                <c:pt idx="2">
                  <c:v>164543.00491286148</c:v>
                </c:pt>
                <c:pt idx="3">
                  <c:v>189528.03139770447</c:v>
                </c:pt>
                <c:pt idx="4">
                  <c:v>213785.33866454236</c:v>
                </c:pt>
                <c:pt idx="5">
                  <c:v>237336.12241875398</c:v>
                </c:pt>
                <c:pt idx="6">
                  <c:v>260200.96101507597</c:v>
                </c:pt>
                <c:pt idx="7">
                  <c:v>282399.83343868935</c:v>
                </c:pt>
                <c:pt idx="8">
                  <c:v>303952.136762586</c:v>
                </c:pt>
                <c:pt idx="9">
                  <c:v>324876.70309646626</c:v>
                </c:pt>
                <c:pt idx="10">
                  <c:v>345191.816041981</c:v>
                </c:pt>
                <c:pt idx="11">
                  <c:v>364915.2266686943</c:v>
                </c:pt>
                <c:pt idx="12">
                  <c:v>442813.2458826381</c:v>
                </c:pt>
                <c:pt idx="13">
                  <c:v>461404.4520535434</c:v>
                </c:pt>
                <c:pt idx="14">
                  <c:v>479454.16678257764</c:v>
                </c:pt>
                <c:pt idx="15">
                  <c:v>496978.161665135</c:v>
                </c:pt>
                <c:pt idx="16">
                  <c:v>513991.74892975396</c:v>
                </c:pt>
                <c:pt idx="17">
                  <c:v>530509.7948177336</c:v>
                </c:pt>
                <c:pt idx="18">
                  <c:v>546546.7325730535</c:v>
                </c:pt>
                <c:pt idx="19">
                  <c:v>562116.5750539466</c:v>
                </c:pt>
                <c:pt idx="20">
                  <c:v>577232.9269771437</c:v>
                </c:pt>
                <c:pt idx="21">
                  <c:v>591908.9968054906</c:v>
                </c:pt>
                <c:pt idx="22">
                  <c:v>606157.6082893226</c:v>
                </c:pt>
                <c:pt idx="23">
                  <c:v>619991.2116716835</c:v>
                </c:pt>
                <c:pt idx="24">
                  <c:v>633421.8945671796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34114.58185903544</c:v>
                </c:pt>
                <c:pt idx="1">
                  <c:v>67235.53512023478</c:v>
                </c:pt>
                <c:pt idx="2">
                  <c:v>99391.8004223702</c:v>
                </c:pt>
                <c:pt idx="3">
                  <c:v>130611.47547298697</c:v>
                </c:pt>
                <c:pt idx="4">
                  <c:v>160921.83959979942</c:v>
                </c:pt>
                <c:pt idx="5">
                  <c:v>190349.37758699604</c:v>
                </c:pt>
                <c:pt idx="6">
                  <c:v>218919.80281728407</c:v>
                </c:pt>
                <c:pt idx="7">
                  <c:v>246658.0797398936</c:v>
                </c:pt>
                <c:pt idx="8">
                  <c:v>273588.4456841749</c:v>
                </c:pt>
                <c:pt idx="9">
                  <c:v>299734.43203784595</c:v>
                </c:pt>
                <c:pt idx="10">
                  <c:v>325118.8848084004</c:v>
                </c:pt>
                <c:pt idx="11">
                  <c:v>349763.9845856377</c:v>
                </c:pt>
                <c:pt idx="12">
                  <c:v>373691.26592276123</c:v>
                </c:pt>
                <c:pt idx="13">
                  <c:v>396921.63615297846</c:v>
                </c:pt>
                <c:pt idx="14">
                  <c:v>419475.39365804364</c:v>
                </c:pt>
                <c:pt idx="15">
                  <c:v>441372.2456047087</c:v>
                </c:pt>
                <c:pt idx="16">
                  <c:v>462631.32516457787</c:v>
                </c:pt>
                <c:pt idx="17">
                  <c:v>483271.208232412</c:v>
                </c:pt>
                <c:pt idx="18">
                  <c:v>503309.92965749366</c:v>
                </c:pt>
                <c:pt idx="19">
                  <c:v>522764.99900223315</c:v>
                </c:pt>
                <c:pt idx="20">
                  <c:v>541653.4158417858</c:v>
                </c:pt>
                <c:pt idx="21">
                  <c:v>559991.6846180509</c:v>
                </c:pt>
                <c:pt idx="22">
                  <c:v>577795.8290610267</c:v>
                </c:pt>
                <c:pt idx="23">
                  <c:v>595081.4061901291</c:v>
                </c:pt>
                <c:pt idx="24">
                  <c:v>611863.5199077044</c:v>
                </c:pt>
              </c:numCache>
            </c:numRef>
          </c:yVal>
          <c:smooth val="0"/>
        </c:ser>
        <c:axId val="2887368"/>
        <c:axId val="25986313"/>
      </c:scatterChart>
      <c:valAx>
        <c:axId val="288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313"/>
        <c:crosses val="autoZero"/>
        <c:crossBetween val="midCat"/>
        <c:dispUnits/>
      </c:valAx>
      <c:valAx>
        <c:axId val="2598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3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800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6.529606</c:v>
                </c:pt>
                <c:pt idx="1">
                  <c:v>5.9230643999999995</c:v>
                </c:pt>
                <c:pt idx="2">
                  <c:v>5.9230643999999995</c:v>
                </c:pt>
                <c:pt idx="3">
                  <c:v>0.6993796</c:v>
                </c:pt>
                <c:pt idx="4">
                  <c:v>1.145002</c:v>
                </c:pt>
                <c:pt idx="5">
                  <c:v>1.0026503999999998</c:v>
                </c:pt>
                <c:pt idx="6">
                  <c:v>0</c:v>
                </c:pt>
                <c:pt idx="7">
                  <c:v>1.9178470667480418</c:v>
                </c:pt>
                <c:pt idx="8">
                  <c:v>3.77757755571584</c:v>
                </c:pt>
                <c:pt idx="9">
                  <c:v>0</c:v>
                </c:pt>
                <c:pt idx="10">
                  <c:v>-2.1958043760000003</c:v>
                </c:pt>
                <c:pt idx="11">
                  <c:v>-2.1958043760000003</c:v>
                </c:pt>
                <c:pt idx="12">
                  <c:v>0</c:v>
                </c:pt>
                <c:pt idx="13">
                  <c:v>-3.3822360000000007</c:v>
                </c:pt>
                <c:pt idx="14">
                  <c:v>-3.3822360000000007</c:v>
                </c:pt>
                <c:pt idx="15">
                  <c:v>7.228985600000001</c:v>
                </c:pt>
                <c:pt idx="16">
                  <c:v>3.4078730907480406</c:v>
                </c:pt>
                <c:pt idx="17">
                  <c:v>5.12525197971584</c:v>
                </c:pt>
              </c:numCache>
            </c:numRef>
          </c:val>
        </c:ser>
        <c:axId val="32550226"/>
        <c:axId val="24516579"/>
      </c:bar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4516579"/>
        <c:crosses val="autoZero"/>
        <c:auto val="1"/>
        <c:lblOffset val="100"/>
        <c:tickLblSkip val="1"/>
        <c:noMultiLvlLbl val="0"/>
      </c:catAx>
      <c:valAx>
        <c:axId val="24516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0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98"/>
          <c:w val="0.141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19322620"/>
        <c:axId val="39685853"/>
      </c:scatterChart>
      <c:valAx>
        <c:axId val="1932262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85853"/>
        <c:crosses val="autoZero"/>
        <c:crossBetween val="midCat"/>
        <c:dispUnits/>
      </c:valAx>
      <c:valAx>
        <c:axId val="39685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226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21628358"/>
        <c:axId val="60437495"/>
      </c:scatterChart>
      <c:valAx>
        <c:axId val="21628358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37495"/>
        <c:crosses val="autoZero"/>
        <c:crossBetween val="midCat"/>
        <c:dispUnits/>
      </c:valAx>
      <c:valAx>
        <c:axId val="6043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83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0.19125</cdr:y>
    </cdr:from>
    <cdr:to>
      <cdr:x>0.1695</cdr:x>
      <cdr:y>0.24325</cdr:y>
    </cdr:to>
    <cdr:sp>
      <cdr:nvSpPr>
        <cdr:cNvPr id="1" name="WordArt 1"/>
        <cdr:cNvSpPr>
          <a:spLocks/>
        </cdr:cNvSpPr>
      </cdr:nvSpPr>
      <cdr:spPr>
        <a:xfrm>
          <a:off x="838200" y="1085850"/>
          <a:ext cx="7239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0.596</cdr:x>
      <cdr:y>0.19125</cdr:y>
    </cdr:from>
    <cdr:to>
      <cdr:x>0.6735</cdr:x>
      <cdr:y>0.24325</cdr:y>
    </cdr:to>
    <cdr:sp>
      <cdr:nvSpPr>
        <cdr:cNvPr id="2" name="WordArt 6"/>
        <cdr:cNvSpPr>
          <a:spLocks/>
        </cdr:cNvSpPr>
      </cdr:nvSpPr>
      <cdr:spPr>
        <a:xfrm>
          <a:off x="5486400" y="1085850"/>
          <a:ext cx="71437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0.468</cdr:x>
      <cdr:y>0.19125</cdr:y>
    </cdr:from>
    <cdr:to>
      <cdr:x>0.5455</cdr:x>
      <cdr:y>0.24325</cdr:y>
    </cdr:to>
    <cdr:sp>
      <cdr:nvSpPr>
        <cdr:cNvPr id="3" name="WordArt 7"/>
        <cdr:cNvSpPr>
          <a:spLocks/>
        </cdr:cNvSpPr>
      </cdr:nvSpPr>
      <cdr:spPr>
        <a:xfrm>
          <a:off x="4314825" y="1085850"/>
          <a:ext cx="71437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0.3485</cdr:x>
      <cdr:y>0.19125</cdr:y>
    </cdr:from>
    <cdr:to>
      <cdr:x>0.42525</cdr:x>
      <cdr:y>0.24325</cdr:y>
    </cdr:to>
    <cdr:sp>
      <cdr:nvSpPr>
        <cdr:cNvPr id="4" name="WordArt 8"/>
        <cdr:cNvSpPr>
          <a:spLocks/>
        </cdr:cNvSpPr>
      </cdr:nvSpPr>
      <cdr:spPr>
        <a:xfrm>
          <a:off x="3209925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0.2175</cdr:x>
      <cdr:y>0.19125</cdr:y>
    </cdr:from>
    <cdr:to>
      <cdr:x>0.29575</cdr:x>
      <cdr:y>0.24325</cdr:y>
    </cdr:to>
    <cdr:sp>
      <cdr:nvSpPr>
        <cdr:cNvPr id="5" name="WordArt 9"/>
        <cdr:cNvSpPr>
          <a:spLocks/>
        </cdr:cNvSpPr>
      </cdr:nvSpPr>
      <cdr:spPr>
        <a:xfrm>
          <a:off x="2000250" y="1085850"/>
          <a:ext cx="7239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0.73325</cdr:x>
      <cdr:y>0.19125</cdr:y>
    </cdr:from>
    <cdr:to>
      <cdr:x>0.81075</cdr:x>
      <cdr:y>0.214</cdr:y>
    </cdr:to>
    <cdr:sp>
      <cdr:nvSpPr>
        <cdr:cNvPr id="6" name="WordArt 10"/>
        <cdr:cNvSpPr>
          <a:spLocks/>
        </cdr:cNvSpPr>
      </cdr:nvSpPr>
      <cdr:spPr>
        <a:xfrm>
          <a:off x="6753225" y="1085850"/>
          <a:ext cx="714375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28">
      <selection activeCell="F53" sqref="F53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53" t="s">
        <v>468</v>
      </c>
      <c r="B1" s="554"/>
      <c r="C1" s="555"/>
      <c r="D1" s="583" t="s">
        <v>285</v>
      </c>
      <c r="E1" s="587"/>
      <c r="F1" s="588"/>
      <c r="G1" s="583" t="s">
        <v>307</v>
      </c>
      <c r="H1" s="584"/>
      <c r="I1" s="591"/>
      <c r="J1" s="583" t="s">
        <v>308</v>
      </c>
      <c r="K1" s="584"/>
      <c r="L1" s="58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56"/>
      <c r="B2" s="557"/>
      <c r="C2" s="558"/>
      <c r="D2" s="537" t="s">
        <v>474</v>
      </c>
      <c r="E2" s="538"/>
      <c r="F2" s="539"/>
      <c r="G2" s="537" t="s">
        <v>475</v>
      </c>
      <c r="H2" s="538"/>
      <c r="I2" s="539"/>
      <c r="J2" s="537" t="s">
        <v>476</v>
      </c>
      <c r="K2" s="538"/>
      <c r="L2" s="586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59"/>
      <c r="B3" s="560"/>
      <c r="C3" s="561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46" t="s">
        <v>286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62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3000</v>
      </c>
      <c r="G5" s="450" t="s">
        <v>391</v>
      </c>
      <c r="H5" s="438"/>
      <c r="I5" s="439">
        <f>F5</f>
        <v>3000</v>
      </c>
      <c r="J5" s="440" t="s">
        <v>407</v>
      </c>
      <c r="K5" s="438"/>
      <c r="L5" s="441">
        <f>I5</f>
        <v>3000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63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2000</v>
      </c>
      <c r="G6" s="455" t="s">
        <v>392</v>
      </c>
      <c r="H6" s="401"/>
      <c r="I6" s="456">
        <f>F6</f>
        <v>2000</v>
      </c>
      <c r="J6" s="457" t="s">
        <v>557</v>
      </c>
      <c r="K6" s="401"/>
      <c r="L6" s="458">
        <f>I6</f>
        <v>2000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24</v>
      </c>
      <c r="J7" s="473" t="s">
        <v>408</v>
      </c>
      <c r="K7" s="442"/>
      <c r="L7" s="370">
        <f>I7</f>
        <v>24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49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50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1"/>
      <c r="B10" s="225" t="s">
        <v>302</v>
      </c>
      <c r="C10" s="228" t="s">
        <v>232</v>
      </c>
      <c r="D10" s="315" t="s">
        <v>352</v>
      </c>
      <c r="E10" s="210"/>
      <c r="F10" s="226">
        <v>800</v>
      </c>
      <c r="G10" s="446" t="s">
        <v>396</v>
      </c>
      <c r="H10" s="209"/>
      <c r="I10" s="227">
        <f>F10</f>
        <v>800</v>
      </c>
      <c r="J10" s="349" t="s">
        <v>411</v>
      </c>
      <c r="K10" s="209"/>
      <c r="L10" s="319">
        <f>I10</f>
        <v>800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2"/>
      <c r="B11" s="231" t="s">
        <v>303</v>
      </c>
      <c r="C11" s="232" t="s">
        <v>232</v>
      </c>
      <c r="D11" s="444" t="s">
        <v>353</v>
      </c>
      <c r="E11" s="404"/>
      <c r="F11" s="405">
        <v>350</v>
      </c>
      <c r="G11" s="447" t="s">
        <v>397</v>
      </c>
      <c r="H11" s="406"/>
      <c r="I11" s="407">
        <f>F11</f>
        <v>350</v>
      </c>
      <c r="J11" s="472" t="s">
        <v>412</v>
      </c>
      <c r="K11" s="406"/>
      <c r="L11" s="408">
        <f>I11</f>
        <v>350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40" t="s">
        <v>295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89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1204.2564061802182</v>
      </c>
      <c r="G16" s="338" t="s">
        <v>399</v>
      </c>
      <c r="H16" s="273"/>
      <c r="I16" s="281">
        <f>'Variante F 1-2'!B123</f>
        <v>783.2376392808188</v>
      </c>
      <c r="J16" s="338" t="s">
        <v>414</v>
      </c>
      <c r="K16" s="273"/>
      <c r="L16" s="322">
        <f aca="true" t="shared" si="0" ref="L16:L21">I16</f>
        <v>783.2376392808188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90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404.25640618021816</v>
      </c>
      <c r="G17" s="341" t="s">
        <v>400</v>
      </c>
      <c r="H17" s="212"/>
      <c r="I17" s="409">
        <f>IF(I16&gt;I10,I16-I10,0)</f>
        <v>0</v>
      </c>
      <c r="J17" s="341" t="s">
        <v>415</v>
      </c>
      <c r="K17" s="212"/>
      <c r="L17" s="375">
        <f t="shared" si="0"/>
        <v>0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32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11.277526457682036</v>
      </c>
      <c r="G18" s="465" t="s">
        <v>401</v>
      </c>
      <c r="H18" s="387"/>
      <c r="I18" s="383">
        <f>'Variante F 1-2'!B43</f>
        <v>12.22149661103496</v>
      </c>
      <c r="J18" s="386" t="s">
        <v>416</v>
      </c>
      <c r="K18" s="387"/>
      <c r="L18" s="392">
        <f t="shared" si="0"/>
        <v>12.22149661103496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33"/>
      <c r="B19" s="358" t="s">
        <v>526</v>
      </c>
      <c r="C19" s="359" t="s">
        <v>0</v>
      </c>
      <c r="D19" s="316" t="s">
        <v>358</v>
      </c>
      <c r="E19" s="211"/>
      <c r="F19" s="362">
        <v>11.28</v>
      </c>
      <c r="G19" s="342" t="s">
        <v>402</v>
      </c>
      <c r="H19" s="212"/>
      <c r="I19" s="410">
        <f>I18/F18*F19</f>
        <v>12.22417719787904</v>
      </c>
      <c r="J19" s="342" t="s">
        <v>417</v>
      </c>
      <c r="K19" s="212"/>
      <c r="L19" s="411">
        <f t="shared" si="0"/>
        <v>12.22417719787904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33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1.0742298614378272</v>
      </c>
      <c r="J20" s="342" t="s">
        <v>418</v>
      </c>
      <c r="K20" s="212"/>
      <c r="L20" s="393">
        <f t="shared" si="0"/>
        <v>1.0742298614378272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33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1.0737892380397338</v>
      </c>
      <c r="J21" s="342" t="s">
        <v>419</v>
      </c>
      <c r="K21" s="212"/>
      <c r="L21" s="378">
        <f t="shared" si="0"/>
        <v>1.0737892380397338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33"/>
      <c r="B22" s="282" t="s">
        <v>325</v>
      </c>
      <c r="C22" s="278" t="s">
        <v>292</v>
      </c>
      <c r="D22" s="316" t="s">
        <v>361</v>
      </c>
      <c r="E22" s="211"/>
      <c r="F22" s="226">
        <v>90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33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332.31072157314645</v>
      </c>
      <c r="G23" s="464" t="s">
        <v>406</v>
      </c>
      <c r="H23" s="215"/>
      <c r="I23" s="283">
        <f>'Variante F 1-2'!B43*'Variante F 1-2'!B44/I26*I22</f>
        <v>14.13859635034534</v>
      </c>
      <c r="J23" s="490" t="s">
        <v>545</v>
      </c>
      <c r="K23" s="492"/>
      <c r="L23" s="514">
        <f>'Variante F 1-2'!B43*'Variante F 1-2'!B44/L26*L22</f>
        <v>27.848750387043857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34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0</v>
      </c>
      <c r="G24" s="487" t="s">
        <v>363</v>
      </c>
      <c r="H24" s="489"/>
      <c r="I24" s="488">
        <f>IF(I23-I11&gt;0,I23-I11,0)</f>
        <v>0</v>
      </c>
      <c r="J24" s="491" t="s">
        <v>364</v>
      </c>
      <c r="K24" s="489"/>
      <c r="L24" s="515">
        <f>IF(L23-L11&gt;0,L23-L11,0)</f>
        <v>0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64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1347.4472727272728</v>
      </c>
      <c r="G25" s="215" t="s">
        <v>365</v>
      </c>
      <c r="H25" s="215"/>
      <c r="I25" s="512">
        <f>(I19*I21*365/I26)</f>
        <v>737.0860492961887</v>
      </c>
      <c r="J25" s="215" t="s">
        <v>421</v>
      </c>
      <c r="K25" s="215"/>
      <c r="L25" s="516">
        <f>(L19*L21*365/L26)</f>
        <v>1451.8361577046142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65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66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15.1</v>
      </c>
      <c r="G27" s="467" t="s">
        <v>367</v>
      </c>
      <c r="H27" s="466" t="s">
        <v>337</v>
      </c>
      <c r="I27" s="494">
        <v>33</v>
      </c>
      <c r="J27" s="467" t="s">
        <v>423</v>
      </c>
      <c r="K27" s="337" t="s">
        <v>338</v>
      </c>
      <c r="L27" s="495">
        <v>21.78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35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36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36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36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36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33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34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7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17.60303446783631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8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16.64</v>
      </c>
      <c r="J36" s="348" t="s">
        <v>466</v>
      </c>
      <c r="K36" s="376"/>
      <c r="L36" s="504">
        <f>I36</f>
        <v>16.64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8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8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0.9582118640850451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1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1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1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1.5</v>
      </c>
      <c r="J40" s="474" t="s">
        <v>433</v>
      </c>
      <c r="K40" s="306"/>
      <c r="L40" s="505">
        <f>I40</f>
        <v>1.5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2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1.2</v>
      </c>
      <c r="J41" s="475" t="s">
        <v>434</v>
      </c>
      <c r="K41" s="469"/>
      <c r="L41" s="506">
        <f>I41</f>
        <v>1.2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46" t="s">
        <v>334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8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97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854.3101875839778</v>
      </c>
      <c r="G44" s="510"/>
      <c r="H44" s="511"/>
      <c r="I44" s="509">
        <f>IF(I17=0,0,'IK Becken Variante 2&amp;3 '!C11)</f>
        <v>0</v>
      </c>
      <c r="J44" s="381" t="s">
        <v>435</v>
      </c>
      <c r="K44" s="397"/>
      <c r="L44" s="508">
        <f>I44</f>
        <v>0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49"/>
      <c r="B45" s="225" t="s">
        <v>523</v>
      </c>
      <c r="C45" s="228" t="s">
        <v>237</v>
      </c>
      <c r="D45" s="352" t="s">
        <v>534</v>
      </c>
      <c r="E45" s="229"/>
      <c r="F45" s="523">
        <f>F44*F17</f>
        <v>345360.36619584693</v>
      </c>
      <c r="G45" s="352" t="s">
        <v>536</v>
      </c>
      <c r="H45" s="209"/>
      <c r="I45" s="524">
        <f>I17*I44</f>
        <v>0</v>
      </c>
      <c r="J45" s="354" t="s">
        <v>538</v>
      </c>
      <c r="K45" s="209"/>
      <c r="L45" s="525">
        <f>L44*L17</f>
        <v>0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49"/>
      <c r="B46" s="225" t="s">
        <v>551</v>
      </c>
      <c r="C46" s="228" t="s">
        <v>237</v>
      </c>
      <c r="D46" s="353" t="s">
        <v>390</v>
      </c>
      <c r="E46" s="229"/>
      <c r="F46" s="233">
        <v>350000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49"/>
      <c r="B47" s="225" t="s">
        <v>552</v>
      </c>
      <c r="C47" s="228" t="s">
        <v>237</v>
      </c>
      <c r="D47" s="353" t="s">
        <v>464</v>
      </c>
      <c r="E47" s="229"/>
      <c r="F47" s="233">
        <v>110000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1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0</v>
      </c>
      <c r="G48" s="351" t="s">
        <v>385</v>
      </c>
      <c r="H48" s="209"/>
      <c r="I48" s="300">
        <f>'IK Becken Variante 2&amp;3 '!C45</f>
        <v>0</v>
      </c>
      <c r="J48" s="351" t="s">
        <v>385</v>
      </c>
      <c r="K48" s="209"/>
      <c r="L48" s="327">
        <f>'IK Becken Variante 2&amp;3 '!C46</f>
        <v>0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1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1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1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1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2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69" t="s">
        <v>483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72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75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6540.800000000001</v>
      </c>
      <c r="G57" s="341" t="s">
        <v>444</v>
      </c>
      <c r="H57" s="274"/>
      <c r="I57" s="281">
        <f>Stromkosten!F27</f>
        <v>6395.200000000001</v>
      </c>
      <c r="J57" s="341" t="s">
        <v>447</v>
      </c>
      <c r="K57" s="274"/>
      <c r="L57" s="322">
        <f>Stromkosten!K27</f>
        <v>6115.200000000001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95"/>
      <c r="B58" s="415" t="s">
        <v>159</v>
      </c>
      <c r="C58" s="278" t="s">
        <v>146</v>
      </c>
      <c r="D58" s="422" t="s">
        <v>442</v>
      </c>
      <c r="E58" s="271"/>
      <c r="F58" s="414">
        <f>F25*F27</f>
        <v>20346.453818181817</v>
      </c>
      <c r="G58" s="424" t="s">
        <v>445</v>
      </c>
      <c r="H58" s="215"/>
      <c r="I58" s="414">
        <f>I25*I27</f>
        <v>24323.839626774225</v>
      </c>
      <c r="J58" s="424" t="s">
        <v>448</v>
      </c>
      <c r="K58" s="215"/>
      <c r="L58" s="323">
        <f>L25*L27</f>
        <v>31620.991514806497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96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-2598.1722000000004</v>
      </c>
      <c r="J59" s="447" t="s">
        <v>507</v>
      </c>
      <c r="K59" s="481"/>
      <c r="L59" s="332">
        <f>'ele. und th. Erlös'!J14</f>
        <v>-2598.1722000000004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75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350000</v>
      </c>
      <c r="G60" s="483" t="s">
        <v>505</v>
      </c>
      <c r="H60" s="482"/>
      <c r="I60" s="281">
        <f>I49+I46+I50+I51+I52</f>
        <v>85000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6"/>
      <c r="B61" s="225" t="s">
        <v>500</v>
      </c>
      <c r="C61" s="371" t="s">
        <v>237</v>
      </c>
      <c r="D61" s="388" t="s">
        <v>443</v>
      </c>
      <c r="E61" s="423"/>
      <c r="F61" s="409">
        <f>F51+F47</f>
        <v>110000</v>
      </c>
      <c r="G61" s="391" t="s">
        <v>446</v>
      </c>
      <c r="H61" s="425"/>
      <c r="I61" s="409">
        <f>I50+I47+I51</f>
        <v>85000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894219.9388591164</v>
      </c>
      <c r="G62" s="432" t="s">
        <v>506</v>
      </c>
      <c r="H62" s="431"/>
      <c r="I62" s="436">
        <f>Projektkostenbarwertberechnung!D58</f>
        <v>633421.8945671796</v>
      </c>
      <c r="J62" s="432" t="s">
        <v>509</v>
      </c>
      <c r="K62" s="431"/>
      <c r="L62" s="433">
        <f>Projektkostenbarwertberechnung!F58</f>
        <v>611863.5199077044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69" t="s">
        <v>313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72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92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6.529606</v>
      </c>
      <c r="G66" s="355" t="s">
        <v>461</v>
      </c>
      <c r="H66" s="274"/>
      <c r="I66" s="270">
        <f>'CO2-Bilanz'!E54</f>
        <v>5.9230643999999995</v>
      </c>
      <c r="J66" s="342" t="s">
        <v>465</v>
      </c>
      <c r="K66" s="274"/>
      <c r="L66" s="324">
        <f>'CO2-Bilanz'!H54</f>
        <v>5.9230643999999995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93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0.6993796</v>
      </c>
      <c r="G67" s="355" t="s">
        <v>494</v>
      </c>
      <c r="H67" s="215"/>
      <c r="I67" s="270">
        <f>'CO2-Bilanz'!E55</f>
        <v>1.145002</v>
      </c>
      <c r="J67" s="342" t="s">
        <v>489</v>
      </c>
      <c r="K67" s="215"/>
      <c r="L67" s="324">
        <f>'CO2-Bilanz'!H55</f>
        <v>1.0026503999999998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93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1.9178470667480418</v>
      </c>
      <c r="J68" s="342" t="s">
        <v>490</v>
      </c>
      <c r="K68" s="215"/>
      <c r="L68" s="324">
        <f>'CO2-Bilanz'!H56</f>
        <v>3.77757755571584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93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-2.1958043760000003</v>
      </c>
      <c r="J69" s="342" t="s">
        <v>491</v>
      </c>
      <c r="K69" s="215"/>
      <c r="L69" s="324">
        <f>'CO2-Bilanz'!H57</f>
        <v>-2.1958043760000003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94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-3.3822360000000007</v>
      </c>
      <c r="J70" s="468" t="s">
        <v>520</v>
      </c>
      <c r="K70" s="215"/>
      <c r="L70" s="324">
        <f>'CO2-Bilanz'!H58</f>
        <v>-3.3822360000000007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7.228985600000001</v>
      </c>
      <c r="G71" s="356" t="s">
        <v>540</v>
      </c>
      <c r="H71" s="291"/>
      <c r="I71" s="293">
        <f>SUM(I66:I70)</f>
        <v>3.4078730907480406</v>
      </c>
      <c r="J71" s="357" t="s">
        <v>541</v>
      </c>
      <c r="K71" s="291"/>
      <c r="L71" s="334">
        <f>SUM(L66:L70)</f>
        <v>5.12525197971584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77" t="s">
        <v>478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9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80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2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6.529606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5.9230643999999995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5.9230643999999995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0.6993796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1.145002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1.0026503999999998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1.9178470667480418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3.77757755571584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-2.1958043760000003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-2.1958043760000003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-3.3822360000000007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-3.3822360000000007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7.228985600000001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3.4078730907480406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5.12525197971584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6.529606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5.9230643999999995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5.9230643999999995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0.6993796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1.145002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1.0026503999999998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1.9178470667480418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3.77757755571584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-2.1958043760000003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-2.1958043760000003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-3.3822360000000007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-3.3822360000000007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7.228985600000001</v>
      </c>
      <c r="AF828" s="336" t="s">
        <v>318</v>
      </c>
    </row>
    <row r="829" spans="31:32" ht="15.75">
      <c r="AE829" s="335">
        <f>I71</f>
        <v>3.4078730907480406</v>
      </c>
      <c r="AF829" s="336" t="s">
        <v>318</v>
      </c>
    </row>
    <row r="830" spans="31:32" ht="15.75">
      <c r="AE830" s="335">
        <f>L71</f>
        <v>5.12525197971584</v>
      </c>
      <c r="AF830" s="336" t="s">
        <v>318</v>
      </c>
    </row>
  </sheetData>
  <sheetProtection password="CA63" sheet="1" selectLockedCells="1"/>
  <mergeCells count="24"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  <mergeCell ref="A35:A41"/>
    <mergeCell ref="A55:L56"/>
    <mergeCell ref="A43:L43"/>
    <mergeCell ref="A60:A61"/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2000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24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42200</v>
      </c>
      <c r="D18" s="249" t="s">
        <v>216</v>
      </c>
      <c r="E18" s="244">
        <f>Stromkosten!F15*'Variante A'!B3</f>
        <v>38280</v>
      </c>
      <c r="G18" s="249" t="s">
        <v>216</v>
      </c>
      <c r="H18" s="244">
        <f>Stromkosten!K15*'Variante A'!B3</f>
        <v>38280</v>
      </c>
    </row>
    <row r="19" spans="1:8" ht="12.75">
      <c r="A19" s="238" t="s">
        <v>217</v>
      </c>
      <c r="B19" s="244">
        <f>Stromkosten!B16*'Variante A'!B3</f>
        <v>4520</v>
      </c>
      <c r="D19" s="238" t="s">
        <v>217</v>
      </c>
      <c r="E19" s="244">
        <f>Stromkosten!F16*'Variante A'!B3</f>
        <v>7400</v>
      </c>
      <c r="F19" s="250"/>
      <c r="G19" s="238" t="s">
        <v>217</v>
      </c>
      <c r="H19" s="244">
        <f>Stromkosten!K16*1.2*'Variante A'!B3</f>
        <v>6480</v>
      </c>
    </row>
    <row r="20" spans="1:8" ht="12.75">
      <c r="A20" s="238" t="s">
        <v>180</v>
      </c>
      <c r="B20" s="244">
        <f>B14*(B19+B18)/10^6</f>
        <v>7.2289856</v>
      </c>
      <c r="D20" s="238" t="s">
        <v>180</v>
      </c>
      <c r="E20" s="251">
        <f>B14*(E18+E19)/10^6</f>
        <v>7.068066399999999</v>
      </c>
      <c r="F20" s="251"/>
      <c r="G20" s="238" t="s">
        <v>180</v>
      </c>
      <c r="H20" s="251">
        <f>(H19+H18)*B14/10^6</f>
        <v>6.9257148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24</v>
      </c>
      <c r="F23" s="250"/>
      <c r="G23" s="249" t="s">
        <v>200</v>
      </c>
      <c r="H23" s="250">
        <f>'Variante A'!B5</f>
        <v>24</v>
      </c>
    </row>
    <row r="24" spans="1:8" ht="12.75">
      <c r="A24" s="249"/>
      <c r="B24" s="522"/>
      <c r="D24" s="249" t="s">
        <v>183</v>
      </c>
      <c r="E24" s="250">
        <f>'Dateneingabe und Ergebnisse'!I25</f>
        <v>737.0860492961887</v>
      </c>
      <c r="F24" s="250"/>
      <c r="G24" s="249" t="s">
        <v>183</v>
      </c>
      <c r="H24" s="250">
        <f>'Dateneingabe und Ergebnisse'!L25</f>
        <v>1451.8361577046142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2440.00899077359</v>
      </c>
      <c r="F26" s="250"/>
      <c r="G26" s="249" t="s">
        <v>185</v>
      </c>
      <c r="H26" s="250">
        <f>H24/H25*H23*2</f>
        <v>4806.078315160102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2440.00899077359</v>
      </c>
      <c r="F33" s="250"/>
      <c r="G33" s="249" t="s">
        <v>184</v>
      </c>
      <c r="H33" s="252">
        <f>H26</f>
        <v>4806.078315160102</v>
      </c>
    </row>
    <row r="34" spans="1:8" ht="12.75">
      <c r="A34" s="249"/>
      <c r="B34" s="251"/>
      <c r="D34" s="249" t="s">
        <v>180</v>
      </c>
      <c r="E34" s="248">
        <f>E33*B10/10^6</f>
        <v>1.9178470667480418</v>
      </c>
      <c r="F34" s="248"/>
      <c r="G34" s="249" t="s">
        <v>180</v>
      </c>
      <c r="H34" s="248">
        <f>H33*B10/10^6</f>
        <v>3.77757755571584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7.2289856</v>
      </c>
      <c r="D37" s="238" t="s">
        <v>189</v>
      </c>
      <c r="E37" s="251">
        <f>E34+E20</f>
        <v>8.985913466748041</v>
      </c>
      <c r="F37" s="251"/>
      <c r="G37" s="238" t="s">
        <v>189</v>
      </c>
      <c r="H37" s="251">
        <f>H34+H20</f>
        <v>10.70329235571584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14191.2</v>
      </c>
      <c r="F40" s="250"/>
      <c r="G40" s="238" t="s">
        <v>193</v>
      </c>
      <c r="H40" s="250">
        <f>'ele. und th. Erlös'!J7</f>
        <v>14191.2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13008.600000000002</v>
      </c>
      <c r="F41" s="250"/>
      <c r="G41" s="238" t="s">
        <v>194</v>
      </c>
      <c r="H41" s="250">
        <f>'ele. und th. Erlös'!J8</f>
        <v>13008.600000000002</v>
      </c>
    </row>
    <row r="42" spans="1:8" ht="12.75">
      <c r="A42" s="244"/>
      <c r="D42" s="238" t="s">
        <v>192</v>
      </c>
      <c r="E42" s="251">
        <f>E40*B14/10^6</f>
        <v>2.1958043760000003</v>
      </c>
      <c r="F42" s="251"/>
      <c r="G42" s="238" t="s">
        <v>192</v>
      </c>
      <c r="H42" s="248">
        <f>H40*B14/10^6</f>
        <v>2.1958043760000003</v>
      </c>
    </row>
    <row r="43" spans="4:8" ht="12.75">
      <c r="D43" s="238" t="s">
        <v>197</v>
      </c>
      <c r="E43" s="251">
        <f>E41*B15/10^6</f>
        <v>3.3822360000000007</v>
      </c>
      <c r="F43" s="251" t="s">
        <v>195</v>
      </c>
      <c r="G43" s="238" t="s">
        <v>197</v>
      </c>
      <c r="H43" s="248">
        <f>H41*B15/10^6</f>
        <v>3.3822360000000007</v>
      </c>
    </row>
    <row r="44" spans="4:8" ht="12.75">
      <c r="D44" s="238" t="s">
        <v>196</v>
      </c>
      <c r="E44" s="251">
        <f>E43+E42</f>
        <v>5.578040376000001</v>
      </c>
      <c r="G44" s="238" t="s">
        <v>196</v>
      </c>
      <c r="H44" s="251">
        <f>H43+H42</f>
        <v>5.578040376000001</v>
      </c>
    </row>
    <row r="46" spans="1:8" ht="12.75">
      <c r="A46" s="243" t="s">
        <v>198</v>
      </c>
      <c r="B46" s="256">
        <f>B37</f>
        <v>7.2289856</v>
      </c>
      <c r="D46" s="243" t="s">
        <v>198</v>
      </c>
      <c r="E46" s="256">
        <f>E37-E44</f>
        <v>3.4078730907480406</v>
      </c>
      <c r="G46" s="243" t="s">
        <v>198</v>
      </c>
      <c r="H46" s="256">
        <f>H37-H44</f>
        <v>5.12525197971584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6.529606</v>
      </c>
      <c r="D54" s="249" t="s">
        <v>210</v>
      </c>
      <c r="E54" s="251">
        <f>E18*$B$14/10^6</f>
        <v>5.9230643999999995</v>
      </c>
      <c r="G54" s="249" t="s">
        <v>210</v>
      </c>
      <c r="H54" s="251">
        <f>H18*$B$14/10^6</f>
        <v>5.9230643999999995</v>
      </c>
    </row>
    <row r="55" spans="1:8" ht="12.75">
      <c r="A55" s="238" t="s">
        <v>108</v>
      </c>
      <c r="B55" s="251">
        <f>B19*$B$14/10^6</f>
        <v>0.6993796</v>
      </c>
      <c r="D55" s="238" t="s">
        <v>108</v>
      </c>
      <c r="E55" s="251">
        <f>E19*$B$14/10^6</f>
        <v>1.145002</v>
      </c>
      <c r="G55" s="238" t="s">
        <v>108</v>
      </c>
      <c r="H55" s="251">
        <f>H19*$B$14/10^6</f>
        <v>1.0026503999999998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1.9178470667480418</v>
      </c>
      <c r="G56" s="238" t="s">
        <v>218</v>
      </c>
      <c r="H56" s="248">
        <f>H34</f>
        <v>3.77757755571584</v>
      </c>
    </row>
    <row r="57" spans="1:8" ht="12.75">
      <c r="A57" s="238" t="s">
        <v>222</v>
      </c>
      <c r="B57" s="251">
        <f>B46</f>
        <v>7.2289856</v>
      </c>
      <c r="D57" s="238" t="s">
        <v>220</v>
      </c>
      <c r="E57" s="251">
        <f>E42*(-1)</f>
        <v>-2.1958043760000003</v>
      </c>
      <c r="G57" s="238" t="s">
        <v>220</v>
      </c>
      <c r="H57" s="248">
        <f>H42*(-1)</f>
        <v>-2.1958043760000003</v>
      </c>
    </row>
    <row r="58" spans="4:8" ht="12.75">
      <c r="D58" s="238" t="s">
        <v>221</v>
      </c>
      <c r="E58" s="251">
        <f>E43*(-1)</f>
        <v>-3.3822360000000007</v>
      </c>
      <c r="G58" s="238" t="s">
        <v>221</v>
      </c>
      <c r="H58" s="248">
        <f>H43*(-1)</f>
        <v>-3.3822360000000007</v>
      </c>
    </row>
    <row r="59" spans="4:8" ht="12.75">
      <c r="D59" s="238" t="s">
        <v>222</v>
      </c>
      <c r="E59" s="251">
        <f>E46</f>
        <v>3.4078730907480406</v>
      </c>
      <c r="G59" s="238" t="s">
        <v>222</v>
      </c>
      <c r="H59" s="251">
        <f>H46</f>
        <v>5.12525197971584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2000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24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19.14</v>
      </c>
      <c r="G15" s="53" t="s">
        <v>30</v>
      </c>
      <c r="J15" s="2" t="s">
        <v>210</v>
      </c>
      <c r="K15" s="122">
        <f>'Dateneingabe und Ergebnisse'!L36+'Dateneingabe und Ergebnisse'!L37</f>
        <v>19.14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3.7</v>
      </c>
      <c r="G16" s="53" t="s">
        <v>30</v>
      </c>
      <c r="J16" s="2" t="s">
        <v>108</v>
      </c>
      <c r="K16" s="122">
        <f>'Dateneingabe und Ergebnisse'!L40+'Dateneingabe und Ergebnisse'!L41</f>
        <v>2.7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22.84</v>
      </c>
      <c r="G23" s="53" t="s">
        <v>30</v>
      </c>
      <c r="H23" s="53"/>
      <c r="J23" s="110" t="s">
        <v>142</v>
      </c>
      <c r="K23" s="122">
        <f>K15+K16</f>
        <v>21.84</v>
      </c>
      <c r="L23" s="53" t="s">
        <v>30</v>
      </c>
    </row>
    <row r="25" spans="1:12" ht="12.75">
      <c r="A25" s="110" t="s">
        <v>140</v>
      </c>
      <c r="B25" s="102">
        <f>B23*'Dateneingabe und Ergebnisse'!F6</f>
        <v>46720</v>
      </c>
      <c r="C25" s="53" t="s">
        <v>144</v>
      </c>
      <c r="E25" s="110" t="s">
        <v>140</v>
      </c>
      <c r="F25" s="102">
        <f>F23*'Dateneingabe und Ergebnisse'!F6</f>
        <v>45680</v>
      </c>
      <c r="G25" s="53" t="s">
        <v>144</v>
      </c>
      <c r="H25" s="53"/>
      <c r="J25" s="110" t="s">
        <v>140</v>
      </c>
      <c r="K25" s="102">
        <f>K23*'Dateneingabe und Ergebnisse'!F6</f>
        <v>43680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6540.800000000001</v>
      </c>
      <c r="C27" t="s">
        <v>146</v>
      </c>
      <c r="E27" t="s">
        <v>145</v>
      </c>
      <c r="F27" s="106">
        <f>F25*B9/100</f>
        <v>6395.200000000001</v>
      </c>
      <c r="G27" t="s">
        <v>146</v>
      </c>
      <c r="J27" t="s">
        <v>145</v>
      </c>
      <c r="K27" s="106">
        <f>K25*B9/100</f>
        <v>6115.200000000001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2000</v>
      </c>
      <c r="D2" s="240"/>
      <c r="E2" s="238">
        <f>$C$2/'Dateneingabe und Ergebnisse'!$F$23*'Dateneingabe und Ergebnisse'!$F$24</f>
        <v>0</v>
      </c>
      <c r="F2" s="238">
        <f>$C$2/'Dateneingabe und Ergebnisse'!$F$23*'Dateneingabe und Ergebnisse'!$F$24</f>
        <v>0</v>
      </c>
      <c r="G2" s="240"/>
      <c r="H2" s="240"/>
      <c r="I2" s="240"/>
    </row>
    <row r="3" spans="1:9" ht="12.75">
      <c r="A3" s="238" t="s">
        <v>211</v>
      </c>
      <c r="C3" s="239">
        <f>'Variante A'!B5</f>
        <v>24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800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783.2376392808188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0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0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0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14.13859635034534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27.848750387043857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0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0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2000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24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350000</v>
      </c>
      <c r="C13" s="176" t="s">
        <v>118</v>
      </c>
      <c r="D13" s="200">
        <f>D14+D18+D22</f>
        <v>85000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110000</v>
      </c>
      <c r="C14" s="190" t="s">
        <v>266</v>
      </c>
      <c r="D14" s="167">
        <f>D17+D16+D15</f>
        <v>85000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110000</v>
      </c>
      <c r="C15" s="187" t="s">
        <v>277</v>
      </c>
      <c r="D15" s="183">
        <f>'Dateneingabe und Ergebnisse'!I61</f>
        <v>85000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240000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240000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350000</v>
      </c>
      <c r="C27" s="175" t="s">
        <v>119</v>
      </c>
      <c r="D27" s="183">
        <f>(D14+D18+D22)*(1-($B$5+$B$6)/100)</f>
        <v>85000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>
        <f>B29+B30+B31+B32</f>
        <v>26887.253818181816</v>
      </c>
      <c r="C28" s="176" t="s">
        <v>120</v>
      </c>
      <c r="D28" s="167">
        <f>D29+D30+D31+D32</f>
        <v>28120.867426774224</v>
      </c>
      <c r="E28" s="177" t="s">
        <v>120</v>
      </c>
      <c r="F28" s="201">
        <f>F29+F30+F31+F32</f>
        <v>35138.0193148065</v>
      </c>
      <c r="G28" s="104"/>
    </row>
    <row r="29" spans="1:7" ht="12.75">
      <c r="A29" s="175" t="s">
        <v>121</v>
      </c>
      <c r="B29" s="166">
        <f>Stromkosten!B27</f>
        <v>6540.800000000001</v>
      </c>
      <c r="C29" s="182" t="s">
        <v>121</v>
      </c>
      <c r="D29" s="181">
        <f>Stromkosten!F27</f>
        <v>6395.200000000001</v>
      </c>
      <c r="E29" s="184" t="s">
        <v>121</v>
      </c>
      <c r="F29" s="181">
        <f>Stromkosten!K27</f>
        <v>6115.200000000001</v>
      </c>
      <c r="G29" s="103"/>
    </row>
    <row r="30" spans="1:7" ht="12.75">
      <c r="A30" s="182" t="s">
        <v>159</v>
      </c>
      <c r="B30" s="166">
        <f>'Dateneingabe und Ergebnisse'!F27*'Dateneingabe und Ergebnisse'!F25</f>
        <v>20346.453818181817</v>
      </c>
      <c r="C30" s="182" t="s">
        <v>159</v>
      </c>
      <c r="D30" s="181">
        <f>'Dateneingabe und Ergebnisse'!I27*'Dateneingabe und Ergebnisse'!I25</f>
        <v>24323.839626774225</v>
      </c>
      <c r="E30" s="184" t="s">
        <v>159</v>
      </c>
      <c r="F30" s="181">
        <f>'Dateneingabe und Ergebnisse'!L27*'Dateneingabe und Ergebnisse'!L25</f>
        <v>31620.991514806497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-2598.1722000000004</v>
      </c>
      <c r="E31" s="184" t="s">
        <v>160</v>
      </c>
      <c r="F31" s="181">
        <f>'ele. und th. Erlös'!J14</f>
        <v>-2598.1722000000004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376104.1299205649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112301.81303570313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34114.58185903544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401447.9453774239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138808.42763347307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67235.53512023478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426053.5914520444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164543.00491286148</v>
      </c>
      <c r="E36" s="102"/>
      <c r="F36" s="102">
        <f t="shared" si="3"/>
        <v>99391.8004223702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449942.56822352053</v>
      </c>
      <c r="C37" s="122"/>
      <c r="D37" s="102">
        <f t="shared" si="4"/>
        <v>189528.03139770447</v>
      </c>
      <c r="E37" s="102"/>
      <c r="F37" s="102">
        <f t="shared" si="3"/>
        <v>130611.47547298697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473135.74955505074</v>
      </c>
      <c r="C38" s="122"/>
      <c r="D38" s="102">
        <f t="shared" si="4"/>
        <v>213785.33866454236</v>
      </c>
      <c r="E38" s="102"/>
      <c r="F38" s="102">
        <f t="shared" si="3"/>
        <v>160921.83959979942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495653.4013332355</v>
      </c>
      <c r="C39" s="122"/>
      <c r="D39" s="102">
        <f t="shared" si="4"/>
        <v>237336.12241875398</v>
      </c>
      <c r="E39" s="102"/>
      <c r="F39" s="102">
        <f t="shared" si="3"/>
        <v>190349.37758699604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517515.1991761334</v>
      </c>
      <c r="C40" s="122"/>
      <c r="D40" s="102">
        <f t="shared" si="4"/>
        <v>260200.96101507597</v>
      </c>
      <c r="E40" s="102"/>
      <c r="F40" s="102">
        <f t="shared" si="3"/>
        <v>218919.80281728407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538740.2456255485</v>
      </c>
      <c r="C41" s="122"/>
      <c r="D41" s="102">
        <f t="shared" si="4"/>
        <v>282399.83343868935</v>
      </c>
      <c r="E41" s="102"/>
      <c r="F41" s="102">
        <f t="shared" si="3"/>
        <v>246658.0797398936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559347.0868385732</v>
      </c>
      <c r="C42" s="122"/>
      <c r="D42" s="102">
        <f t="shared" si="4"/>
        <v>303952.136762586</v>
      </c>
      <c r="E42" s="102"/>
      <c r="F42" s="102">
        <f t="shared" si="3"/>
        <v>273588.4456841749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579353.728792966</v>
      </c>
      <c r="C43" s="122"/>
      <c r="D43" s="102">
        <f t="shared" si="4"/>
        <v>324876.70309646626</v>
      </c>
      <c r="E43" s="102"/>
      <c r="F43" s="102">
        <f t="shared" si="3"/>
        <v>299734.43203784595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598777.6530205319</v>
      </c>
      <c r="C44" s="122"/>
      <c r="D44" s="102">
        <f t="shared" si="4"/>
        <v>345191.816041981</v>
      </c>
      <c r="E44" s="102"/>
      <c r="F44" s="102">
        <f t="shared" si="3"/>
        <v>325118.8848084004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617635.8318822462</v>
      </c>
      <c r="C45" s="122"/>
      <c r="D45" s="102">
        <f t="shared" si="4"/>
        <v>364915.2266686943</v>
      </c>
      <c r="E45" s="102"/>
      <c r="F45" s="102">
        <f t="shared" si="3"/>
        <v>349763.9845856377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711972.960508712</v>
      </c>
      <c r="C46" s="122"/>
      <c r="D46" s="102">
        <f t="shared" si="4"/>
        <v>442813.2458826381</v>
      </c>
      <c r="E46" s="102"/>
      <c r="F46" s="102">
        <f t="shared" si="3"/>
        <v>373691.26592276123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729748.6027574767</v>
      </c>
      <c r="C47" s="122"/>
      <c r="D47" s="102">
        <f t="shared" si="4"/>
        <v>461404.4520535434</v>
      </c>
      <c r="E47" s="102"/>
      <c r="F47" s="102">
        <f t="shared" si="3"/>
        <v>396921.63615297846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747006.5078533648</v>
      </c>
      <c r="C48" s="122"/>
      <c r="D48" s="102">
        <f t="shared" si="4"/>
        <v>479454.16678257764</v>
      </c>
      <c r="E48" s="102"/>
      <c r="F48" s="102">
        <f t="shared" si="3"/>
        <v>419475.39365804364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763761.7555192753</v>
      </c>
      <c r="C49" s="122"/>
      <c r="D49" s="102">
        <f t="shared" si="4"/>
        <v>496978.161665135</v>
      </c>
      <c r="E49" s="102"/>
      <c r="F49" s="102">
        <f t="shared" si="3"/>
        <v>441372.2456047087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780028.9862628779</v>
      </c>
      <c r="C50" s="122"/>
      <c r="D50" s="102">
        <f t="shared" si="4"/>
        <v>513991.74892975396</v>
      </c>
      <c r="E50" s="102"/>
      <c r="F50" s="102">
        <f t="shared" si="3"/>
        <v>462631.32516457787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795822.4141692882</v>
      </c>
      <c r="C51" s="122"/>
      <c r="D51" s="102">
        <f t="shared" si="4"/>
        <v>530509.7948177336</v>
      </c>
      <c r="E51" s="102"/>
      <c r="F51" s="102">
        <f t="shared" si="3"/>
        <v>483271.208232412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811155.8393211429</v>
      </c>
      <c r="C52" s="122"/>
      <c r="D52" s="102">
        <f t="shared" si="4"/>
        <v>546546.7325730535</v>
      </c>
      <c r="E52" s="102"/>
      <c r="F52" s="102">
        <f t="shared" si="3"/>
        <v>503309.92965749366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826042.6598569241</v>
      </c>
      <c r="C53" s="122"/>
      <c r="D53" s="102">
        <f t="shared" si="4"/>
        <v>562116.5750539466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522764.99900223315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840495.8836780707</v>
      </c>
      <c r="C54" s="122"/>
      <c r="D54" s="102">
        <f t="shared" si="4"/>
        <v>577232.9269771437</v>
      </c>
      <c r="E54" s="102"/>
      <c r="F54" s="102">
        <f t="shared" si="3"/>
        <v>541653.4158417858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854528.1398151066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591908.9968054906</v>
      </c>
      <c r="E55" s="122"/>
      <c r="F55" s="102">
        <f t="shared" si="3"/>
        <v>559991.6846180509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868151.6894627141</v>
      </c>
      <c r="C56" s="122"/>
      <c r="D56" s="102">
        <f t="shared" si="4"/>
        <v>606157.6082893226</v>
      </c>
      <c r="E56" s="122"/>
      <c r="F56" s="102">
        <f t="shared" si="3"/>
        <v>577795.8290610267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881378.4366934011</v>
      </c>
      <c r="C57" s="122"/>
      <c r="D57" s="102">
        <f t="shared" si="4"/>
        <v>619991.2116716835</v>
      </c>
      <c r="E57" s="122"/>
      <c r="F57" s="102">
        <f t="shared" si="3"/>
        <v>595081.4061901291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894219.9388591164</v>
      </c>
      <c r="C58" s="122"/>
      <c r="D58" s="102">
        <f t="shared" si="4"/>
        <v>633421.8945671796</v>
      </c>
      <c r="E58" s="122"/>
      <c r="F58" s="102">
        <f t="shared" si="3"/>
        <v>611863.5199077044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1073849.365931489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687057.8659112132</v>
      </c>
      <c r="E59" s="122"/>
      <c r="F59" s="102">
        <f t="shared" si="3"/>
        <v>628156.8341966127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1085953.7133400247</v>
      </c>
      <c r="C60" s="122"/>
      <c r="D60" s="102">
        <f t="shared" si="4"/>
        <v>699717.5726653805</v>
      </c>
      <c r="E60" s="122"/>
      <c r="F60" s="102">
        <f t="shared" si="3"/>
        <v>643975.5859334165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1097705.5069405448</v>
      </c>
      <c r="C61" s="122"/>
      <c r="D61" s="102">
        <f t="shared" si="4"/>
        <v>712008.5500966108</v>
      </c>
      <c r="E61" s="122"/>
      <c r="F61" s="102">
        <f t="shared" si="3"/>
        <v>659333.5973283718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1109115.015290564</v>
      </c>
      <c r="C62" s="122"/>
      <c r="D62" s="102">
        <f t="shared" si="4"/>
        <v>723941.5378939218</v>
      </c>
      <c r="E62" s="122"/>
      <c r="F62" s="102">
        <f t="shared" si="3"/>
        <v>674244.2880030855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1120192.2078633984</v>
      </c>
      <c r="C63" s="122"/>
      <c r="D63" s="102">
        <f t="shared" si="4"/>
        <v>735526.962939855</v>
      </c>
      <c r="E63" s="122"/>
      <c r="F63" s="102">
        <f t="shared" si="3"/>
        <v>688720.6867164001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1130946.7637593544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746774.9484213437</v>
      </c>
      <c r="E64" s="122"/>
      <c r="F64" s="102">
        <f t="shared" si="3"/>
        <v>702775.4427487444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1141388.0801631948</v>
      </c>
      <c r="C65" s="122"/>
      <c r="D65" s="102">
        <f t="shared" si="4"/>
        <v>757695.3226752158</v>
      </c>
      <c r="E65" s="122"/>
      <c r="F65" s="102">
        <f t="shared" si="3"/>
        <v>716420.8369549037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1151525.280555273</v>
      </c>
      <c r="C66" s="122"/>
      <c r="D66" s="102">
        <f t="shared" si="4"/>
        <v>768297.6277760628</v>
      </c>
      <c r="E66" s="122"/>
      <c r="F66" s="102">
        <f t="shared" si="3"/>
        <v>729668.7924948642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1161367.222683504</v>
      </c>
      <c r="C67" s="122"/>
      <c r="D67" s="102">
        <f t="shared" si="4"/>
        <v>778591.1278739723</v>
      </c>
      <c r="E67" s="122"/>
      <c r="F67" s="102">
        <f t="shared" si="3"/>
        <v>742530.8852521074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1170922.506303146</v>
      </c>
      <c r="C68" s="122"/>
      <c r="D68" s="102">
        <f t="shared" si="4"/>
        <v>788584.8172894185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755018.3539484601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1180199.480691148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798287.4283723761</v>
      </c>
      <c r="E69" s="122"/>
      <c r="F69" s="102">
        <f t="shared" si="3"/>
        <v>767142.1099643365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1189206.2519416353</v>
      </c>
      <c r="C70" s="122"/>
      <c r="D70" s="102">
        <f t="shared" si="4"/>
        <v>807707.4391325288</v>
      </c>
      <c r="E70" s="122"/>
      <c r="F70" s="102">
        <f t="shared" si="3"/>
        <v>778912.7468729543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1234262.189961789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844911.9669435602</v>
      </c>
      <c r="E71" s="122"/>
      <c r="F71" s="102">
        <f t="shared" si="3"/>
        <v>790340.5496968551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1242751.9356970016</v>
      </c>
      <c r="C72" s="122"/>
      <c r="D72" s="102">
        <f t="shared" si="4"/>
        <v>853791.2305500763</v>
      </c>
      <c r="E72" s="122"/>
      <c r="F72" s="102">
        <f t="shared" si="3"/>
        <v>801435.5038948171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1250994.407284587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862411.8748282474</v>
      </c>
      <c r="E73" s="122"/>
      <c r="F73" s="102">
        <f t="shared" si="3"/>
        <v>812207.3040870131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1258996.8068841845</v>
      </c>
      <c r="C74" s="122"/>
      <c r="D74" s="102">
        <f t="shared" si="4"/>
        <v>870781.4323798695</v>
      </c>
      <c r="E74" s="122"/>
      <c r="F74" s="102">
        <f t="shared" si="3"/>
        <v>822665.3625260384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1266766.1268837936</v>
      </c>
      <c r="C75" s="122"/>
      <c r="D75" s="102">
        <f t="shared" si="4"/>
        <v>878907.2164105708</v>
      </c>
      <c r="E75" s="122"/>
      <c r="F75" s="102">
        <f t="shared" si="3"/>
        <v>832818.8173212087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1274309.1560096277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886796.3271199896</v>
      </c>
      <c r="E76" s="122"/>
      <c r="F76" s="102">
        <f t="shared" si="3"/>
        <v>842676.5404233156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1281632.4852580102</v>
      </c>
      <c r="C77" s="122"/>
      <c r="D77" s="102">
        <f t="shared" si="4"/>
        <v>894455.6579058329</v>
      </c>
      <c r="E77" s="122"/>
      <c r="F77" s="102">
        <f t="shared" si="3"/>
        <v>852247.1453768177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1288742.5136544982</v>
      </c>
      <c r="C78" s="122"/>
      <c r="D78" s="102">
        <f t="shared" si="4"/>
        <v>901891.9013872342</v>
      </c>
      <c r="E78" s="122"/>
      <c r="F78" s="102">
        <f t="shared" si="3"/>
        <v>861538.9948462369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1295645.4538452632</v>
      </c>
      <c r="C79" s="122"/>
      <c r="D79" s="102">
        <f t="shared" si="4"/>
        <v>909111.5552526724</v>
      </c>
      <c r="E79" s="122"/>
      <c r="F79" s="102">
        <f t="shared" si="3"/>
        <v>870560.207923343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1302347.3375256176</v>
      </c>
      <c r="C80" s="122"/>
      <c r="D80" s="102">
        <f t="shared" si="4"/>
        <v>916120.927937564</v>
      </c>
      <c r="E80" s="122"/>
      <c r="F80" s="102">
        <f t="shared" si="3"/>
        <v>879318.6672215045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1308854.0207104275</v>
      </c>
      <c r="C81" s="122"/>
      <c r="D81" s="102">
        <f t="shared" si="4"/>
        <v>922926.1441364875</v>
      </c>
      <c r="E81" s="122"/>
      <c r="F81" s="102">
        <f t="shared" si="3"/>
        <v>887822.0257634086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1315171.1888510198</v>
      </c>
      <c r="C82" s="122"/>
      <c r="D82" s="102">
        <f t="shared" si="4"/>
        <v>929533.15015486</v>
      </c>
      <c r="E82" s="122"/>
      <c r="F82" s="102">
        <f t="shared" si="3"/>
        <v>896077.7136681699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1321304.3618030513</v>
      </c>
      <c r="C83" s="122"/>
      <c r="D83" s="102">
        <f t="shared" si="4"/>
        <v>935947.7191047363</v>
      </c>
      <c r="E83" s="122"/>
      <c r="F83" s="102">
        <f t="shared" si="3"/>
        <v>904092.9446436665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24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11.239726457682035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112.39726457682036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121.84726457682036</v>
      </c>
      <c r="C42" s="66" t="s">
        <v>60</v>
      </c>
      <c r="E42"/>
    </row>
    <row r="43" spans="1:5" ht="12.75">
      <c r="A43" s="3" t="s">
        <v>101</v>
      </c>
      <c r="B43" s="67">
        <f>B31+B23</f>
        <v>11.277526457682036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92.57038710546922</v>
      </c>
      <c r="C47" s="66" t="s">
        <v>6</v>
      </c>
      <c r="E47"/>
    </row>
    <row r="48" spans="1:5" ht="12.75">
      <c r="A48" s="3" t="s">
        <v>69</v>
      </c>
      <c r="B48" s="67">
        <f>B22/100*B24</f>
        <v>65.19041345455581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21.10303446783631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17.60303446783631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11.277526457682036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0.48180443990493854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149.28794896723113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0.6220331206967964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12.828082062695389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188.42368847381329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125.61579231587552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67.29417445493333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22.924882097647284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12.28118683802533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4214.897421630763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1204.2564061802182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421.48974216307636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782.7666640171418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16.859589686523055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168.59589686523054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24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12.183696611034959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121.8369661103496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131.2869661103496</v>
      </c>
      <c r="C42" s="66" t="s">
        <v>60</v>
      </c>
      <c r="E42"/>
    </row>
    <row r="43" spans="1:5" ht="12.75">
      <c r="A43" s="3" t="s">
        <v>101</v>
      </c>
      <c r="B43" s="67">
        <f>B31+B23</f>
        <v>12.22149661103496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1.0742298614378272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108.99534988231875</v>
      </c>
      <c r="C47" s="66" t="s">
        <v>6</v>
      </c>
      <c r="E47"/>
    </row>
    <row r="48" spans="1:5" ht="12.75">
      <c r="A48" s="3" t="s">
        <v>69</v>
      </c>
      <c r="B48" s="67">
        <f>B22/100*B24</f>
        <v>76.75728864952025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18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108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38.88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59.400000000000006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7.0956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7.0956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3.658211864085045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0.9582118640850451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1.5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1.2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1.3126189918973221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0.21876983198288702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0.9582118640850451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138.59220960085992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0.577467540003583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12.544891016689512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177.24652432923207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118.16434955282138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63.30233011758289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11.552675246458877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2741.3317374828657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783.2376392808188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274.1331737482866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509.10446553253223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12.183696611034959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182.7554491655244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2000</v>
      </c>
      <c r="C2" s="22"/>
      <c r="F2" s="22"/>
      <c r="G2" s="22"/>
    </row>
    <row r="3" spans="1:7" ht="15" customHeight="1">
      <c r="A3" t="s">
        <v>211</v>
      </c>
      <c r="B3" s="106">
        <f>'Variante A'!B5</f>
        <v>24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14191.2</v>
      </c>
      <c r="G7" s="101"/>
      <c r="I7" s="124" t="s">
        <v>148</v>
      </c>
      <c r="J7" s="102">
        <f>'Variante F 1-2'!B71*365</f>
        <v>14191.2</v>
      </c>
      <c r="K7" s="101"/>
    </row>
    <row r="8" spans="5:11" ht="12.75">
      <c r="E8" s="124" t="s">
        <v>149</v>
      </c>
      <c r="F8" s="102">
        <f>'Variante F 1-2'!B72*365*('Variante F 1-2'!B73/100)</f>
        <v>13008.600000000002</v>
      </c>
      <c r="G8" s="101"/>
      <c r="I8" s="124" t="s">
        <v>149</v>
      </c>
      <c r="J8" s="102">
        <f>'Variante F 1-2'!B72*365*'Variante F 1-2'!B73/100</f>
        <v>13008.600000000002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198676.80000000005</v>
      </c>
      <c r="I11" s="124" t="s">
        <v>152</v>
      </c>
      <c r="J11" s="103">
        <f>J9*J7</f>
        <v>198676.80000000005</v>
      </c>
    </row>
    <row r="12" spans="5:10" ht="12.75">
      <c r="E12" s="124" t="s">
        <v>153</v>
      </c>
      <c r="F12" s="103">
        <f>F8*F10</f>
        <v>61140.42000000001</v>
      </c>
      <c r="I12" s="124" t="s">
        <v>153</v>
      </c>
      <c r="J12" s="103">
        <f>J8*J10</f>
        <v>61140.42000000001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-2598.1722000000004</v>
      </c>
      <c r="I14" s="101" t="s">
        <v>154</v>
      </c>
      <c r="J14" s="102">
        <f>(J12+J11)/100*(-1)</f>
        <v>-2598.1722000000004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G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2000</v>
      </c>
      <c r="D2" s="22"/>
      <c r="E2" s="6">
        <f>C2-('Dateneingabe und Ergebnisse'!F11)/'Dateneingabe und Ergebnisse'!F23*10000</f>
        <v>-8532.311396487996</v>
      </c>
      <c r="G2" s="22"/>
      <c r="H2" s="22"/>
      <c r="I2" s="22"/>
    </row>
    <row r="3" spans="1:9" ht="15" customHeight="1">
      <c r="A3" t="s">
        <v>211</v>
      </c>
      <c r="C3" s="106">
        <f>'Variante A'!B5</f>
        <v>24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800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1204.2564061802182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404.25640618021816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345360.36619584693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854.3101875839778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>
        <f>C28+C29*C7</f>
        <v>106169.4768864017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50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50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0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2012-10-25T09:06:08Z</cp:lastPrinted>
  <dcterms:created xsi:type="dcterms:W3CDTF">2007-10-03T13:22:06Z</dcterms:created>
  <dcterms:modified xsi:type="dcterms:W3CDTF">2012-10-25T09:51:23Z</dcterms:modified>
  <cp:category/>
  <cp:version/>
  <cp:contentType/>
  <cp:contentStatus/>
</cp:coreProperties>
</file>