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<sst xmlns="http://schemas.openxmlformats.org/spreadsheetml/2006/main" count="1191" uniqueCount="558">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</sst>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113761.6240070609</c:v>
                </c:pt>
                <c:pt idx="1">
                  <c:v>127122.4240139161</c:v>
                </c:pt>
                <c:pt idx="2">
                  <c:v>140094.0745060086</c:v>
                </c:pt>
                <c:pt idx="3">
                  <c:v>152687.9099352245</c:v>
                </c:pt>
                <c:pt idx="4">
                  <c:v>164914.93462378372</c:v>
                </c:pt>
                <c:pt idx="5">
                  <c:v>176785.83237966645</c:v>
                </c:pt>
                <c:pt idx="6">
                  <c:v>188310.97583197983</c:v>
                </c:pt>
                <c:pt idx="7">
                  <c:v>199500.4354944199</c:v>
                </c:pt>
                <c:pt idx="8">
                  <c:v>210363.98856475012</c:v>
                </c:pt>
                <c:pt idx="9">
                  <c:v>220911.12746798332</c:v>
                </c:pt>
                <c:pt idx="10">
                  <c:v>231151.06815073403</c:v>
                </c:pt>
                <c:pt idx="11">
                  <c:v>241092.75813398708</c:v>
                </c:pt>
                <c:pt idx="12">
                  <c:v>250744.88433132018</c:v>
                </c:pt>
                <c:pt idx="13">
                  <c:v>260115.8806394106</c:v>
                </c:pt>
                <c:pt idx="14">
                  <c:v>269213.93530745956</c:v>
                </c:pt>
                <c:pt idx="15">
                  <c:v>278046.998091973</c:v>
                </c:pt>
                <c:pt idx="16">
                  <c:v>286622.7872031512</c:v>
                </c:pt>
                <c:pt idx="17">
                  <c:v>294948.7960489553</c:v>
                </c:pt>
                <c:pt idx="18">
                  <c:v>303032.29978274566</c:v>
                </c:pt>
                <c:pt idx="19">
                  <c:v>310880.361660212</c:v>
                </c:pt>
                <c:pt idx="20">
                  <c:v>318499.83921115013</c:v>
                </c:pt>
                <c:pt idx="21">
                  <c:v>325897.3902314785</c:v>
                </c:pt>
                <c:pt idx="22">
                  <c:v>333079.4786007294</c:v>
                </c:pt>
                <c:pt idx="23">
                  <c:v>340052.37993009906</c:v>
                </c:pt>
                <c:pt idx="24">
                  <c:v>346822.187045992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108787.24319705038</c:v>
                </c:pt>
                <c:pt idx="1">
                  <c:v>117318.54727185654</c:v>
                </c:pt>
                <c:pt idx="2">
                  <c:v>125601.36676195964</c:v>
                </c:pt>
                <c:pt idx="3">
                  <c:v>133642.93908244805</c:v>
                </c:pt>
                <c:pt idx="4">
                  <c:v>141450.29084991256</c:v>
                </c:pt>
                <c:pt idx="5">
                  <c:v>149030.2440222082</c:v>
                </c:pt>
                <c:pt idx="6">
                  <c:v>156389.42185938844</c:v>
                </c:pt>
                <c:pt idx="7">
                  <c:v>163534.2547110197</c:v>
                </c:pt>
                <c:pt idx="8">
                  <c:v>170470.98563493358</c:v>
                </c:pt>
                <c:pt idx="9">
                  <c:v>177205.6758523257</c:v>
                </c:pt>
                <c:pt idx="10">
                  <c:v>183744.21004396852</c:v>
                </c:pt>
                <c:pt idx="11">
                  <c:v>190092.30149216542</c:v>
                </c:pt>
                <c:pt idx="12">
                  <c:v>196255.4970729391</c:v>
                </c:pt>
                <c:pt idx="13">
                  <c:v>202239.1821028165</c:v>
                </c:pt>
                <c:pt idx="14">
                  <c:v>208048.58504444503</c:v>
                </c:pt>
                <c:pt idx="15">
                  <c:v>213688.78207515232</c:v>
                </c:pt>
                <c:pt idx="16">
                  <c:v>219164.70152244097</c:v>
                </c:pt>
                <c:pt idx="17">
                  <c:v>224481.12817029402</c:v>
                </c:pt>
                <c:pt idx="18">
                  <c:v>229642.70744005428</c:v>
                </c:pt>
                <c:pt idx="19">
                  <c:v>234653.94944953025</c:v>
                </c:pt>
                <c:pt idx="20">
                  <c:v>239519.23295387582</c:v>
                </c:pt>
                <c:pt idx="21">
                  <c:v>244242.8091716871</c:v>
                </c:pt>
                <c:pt idx="22">
                  <c:v>248828.80549965924</c:v>
                </c:pt>
                <c:pt idx="23">
                  <c:v>253281.2291190496</c:v>
                </c:pt>
                <c:pt idx="24">
                  <c:v>257603.9704970985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35726.56463790887</c:v>
                </c:pt>
                <c:pt idx="1">
                  <c:v>50995.073995101906</c:v>
                </c:pt>
                <c:pt idx="2">
                  <c:v>65818.86948752239</c:v>
                </c:pt>
                <c:pt idx="3">
                  <c:v>80210.90394618298</c:v>
                </c:pt>
                <c:pt idx="4">
                  <c:v>94183.75293517388</c:v>
                </c:pt>
                <c:pt idx="5">
                  <c:v>107749.62574001944</c:v>
                </c:pt>
                <c:pt idx="6">
                  <c:v>120920.37603598603</c:v>
                </c:pt>
                <c:pt idx="7">
                  <c:v>133707.51224566222</c:v>
                </c:pt>
                <c:pt idx="8">
                  <c:v>146122.2075948625</c:v>
                </c:pt>
                <c:pt idx="9">
                  <c:v>158175.30987563945</c:v>
                </c:pt>
                <c:pt idx="10">
                  <c:v>169877.35092493746</c:v>
                </c:pt>
                <c:pt idx="11">
                  <c:v>181238.5558271685</c:v>
                </c:pt>
                <c:pt idx="12">
                  <c:v>192268.85184875203</c:v>
                </c:pt>
                <c:pt idx="13">
                  <c:v>202977.87711242543</c:v>
                </c:pt>
                <c:pt idx="14">
                  <c:v>213374.98901890445</c:v>
                </c:pt>
                <c:pt idx="15">
                  <c:v>223469.2724232529</c:v>
                </c:pt>
                <c:pt idx="16">
                  <c:v>233269.54757310587</c:v>
                </c:pt>
                <c:pt idx="17">
                  <c:v>242784.37781568157</c:v>
                </c:pt>
                <c:pt idx="18">
                  <c:v>252022.07708031815</c:v>
                </c:pt>
                <c:pt idx="19">
                  <c:v>260990.7171430721</c:v>
                </c:pt>
                <c:pt idx="20">
                  <c:v>269698.1346797263</c:v>
                </c:pt>
                <c:pt idx="21">
                  <c:v>278151.9381133714</c:v>
                </c:pt>
                <c:pt idx="22">
                  <c:v>286359.5142625413</c:v>
                </c:pt>
                <c:pt idx="23">
                  <c:v>294328.0347957159</c:v>
                </c:pt>
                <c:pt idx="24">
                  <c:v>302064.4624978272</c:v>
                </c:pt>
              </c:numCache>
            </c:numRef>
          </c:yVal>
          <c:smooth val="0"/>
        </c:ser>
        <c:axId val="25412278"/>
        <c:axId val="27383911"/>
      </c:scatterChart>
      <c:val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3911"/>
        <c:crosses val="autoZero"/>
        <c:crossBetween val="midCat"/>
        <c:dispUnits/>
      </c:valAx>
      <c:valAx>
        <c:axId val="2738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2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0</c:v>
                </c:pt>
                <c:pt idx="1">
                  <c:v>1.8567599999999997</c:v>
                </c:pt>
                <c:pt idx="2">
                  <c:v>1.8567599999999997</c:v>
                </c:pt>
                <c:pt idx="3">
                  <c:v>0.77365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0.39955147223917536</c:v>
                </c:pt>
                <c:pt idx="8">
                  <c:v>0.7869953241074666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0.77365</c:v>
                </c:pt>
                <c:pt idx="16">
                  <c:v>2.256311472239175</c:v>
                </c:pt>
                <c:pt idx="17">
                  <c:v>2.6437553241074663</c:v>
                </c:pt>
              </c:numCache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8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31538602"/>
        <c:axId val="15411963"/>
      </c:scatterChart>
      <c:valAx>
        <c:axId val="3153860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1963"/>
        <c:crosses val="autoZero"/>
        <c:crossBetween val="midCat"/>
        <c:dispUnits/>
      </c:valAx>
      <c:valAx>
        <c:axId val="1541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86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4489940"/>
        <c:axId val="40409461"/>
      </c:scatterChart>
      <c:valAx>
        <c:axId val="4489940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9461"/>
        <c:crosses val="autoZero"/>
        <c:crossBetween val="midCat"/>
        <c:dispUnits/>
      </c:valAx>
      <c:valAx>
        <c:axId val="4040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99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0.19125</cdr:y>
    </cdr:from>
    <cdr:to>
      <cdr:x>0.18175</cdr:x>
      <cdr:y>0.24325</cdr:y>
    </cdr:to>
    <cdr:sp>
      <cdr:nvSpPr>
        <cdr:cNvPr id="1" name="WordArt 1"/>
        <cdr:cNvSpPr>
          <a:spLocks/>
        </cdr:cNvSpPr>
      </cdr:nvSpPr>
      <cdr:spPr>
        <a:xfrm>
          <a:off x="971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0.6005</cdr:x>
      <cdr:y>0.19125</cdr:y>
    </cdr:from>
    <cdr:to>
      <cdr:x>0.6765</cdr:x>
      <cdr:y>0.24325</cdr:y>
    </cdr:to>
    <cdr:sp>
      <cdr:nvSpPr>
        <cdr:cNvPr id="2" name="WordArt 6"/>
        <cdr:cNvSpPr>
          <a:spLocks/>
        </cdr:cNvSpPr>
      </cdr:nvSpPr>
      <cdr:spPr>
        <a:xfrm>
          <a:off x="55340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0.47525</cdr:x>
      <cdr:y>0.19125</cdr:y>
    </cdr:from>
    <cdr:to>
      <cdr:x>0.55125</cdr:x>
      <cdr:y>0.24325</cdr:y>
    </cdr:to>
    <cdr:sp>
      <cdr:nvSpPr>
        <cdr:cNvPr id="3" name="WordArt 7"/>
        <cdr:cNvSpPr>
          <a:spLocks/>
        </cdr:cNvSpPr>
      </cdr:nvSpPr>
      <cdr:spPr>
        <a:xfrm>
          <a:off x="438150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0.35775</cdr:x>
      <cdr:y>0.19125</cdr:y>
    </cdr:from>
    <cdr:to>
      <cdr:x>0.433</cdr:x>
      <cdr:y>0.24325</cdr:y>
    </cdr:to>
    <cdr:sp>
      <cdr:nvSpPr>
        <cdr:cNvPr id="4" name="WordArt 8"/>
        <cdr:cNvSpPr>
          <a:spLocks/>
        </cdr:cNvSpPr>
      </cdr:nvSpPr>
      <cdr:spPr>
        <a:xfrm>
          <a:off x="329565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0.2295</cdr:x>
      <cdr:y>0.19125</cdr:y>
    </cdr:from>
    <cdr:to>
      <cdr:x>0.30625</cdr:x>
      <cdr:y>0.24325</cdr:y>
    </cdr:to>
    <cdr:sp>
      <cdr:nvSpPr>
        <cdr:cNvPr id="5" name="WordArt 9"/>
        <cdr:cNvSpPr>
          <a:spLocks/>
        </cdr:cNvSpPr>
      </cdr:nvSpPr>
      <cdr:spPr>
        <a:xfrm>
          <a:off x="2114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0.73575</cdr:x>
      <cdr:y>0.19125</cdr:y>
    </cdr:from>
    <cdr:to>
      <cdr:x>0.81175</cdr:x>
      <cdr:y>0.214</cdr:y>
    </cdr:to>
    <cdr:sp>
      <cdr:nvSpPr>
        <cdr:cNvPr id="6" name="WordArt 10"/>
        <cdr:cNvSpPr>
          <a:spLocks/>
        </cdr:cNvSpPr>
      </cdr:nvSpPr>
      <cdr:spPr>
        <a:xfrm>
          <a:off x="6781800" y="1085850"/>
          <a:ext cx="7048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I39" sqref="I3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0</v>
      </c>
      <c r="G5" s="450" t="s">
        <v>391</v>
      </c>
      <c r="H5" s="438"/>
      <c r="I5" s="439">
        <f>F5</f>
        <v>0</v>
      </c>
      <c r="J5" s="440" t="s">
        <v>407</v>
      </c>
      <c r="K5" s="438"/>
      <c r="L5" s="441">
        <f>I5</f>
        <v>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0</v>
      </c>
      <c r="G6" s="455" t="s">
        <v>392</v>
      </c>
      <c r="H6" s="401"/>
      <c r="I6" s="456">
        <f>F6</f>
        <v>0</v>
      </c>
      <c r="J6" s="457" t="s">
        <v>557</v>
      </c>
      <c r="K6" s="401"/>
      <c r="L6" s="458">
        <f>I6</f>
        <v>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0</v>
      </c>
      <c r="J7" s="473" t="s">
        <v>408</v>
      </c>
      <c r="K7" s="442"/>
      <c r="L7" s="370">
        <f>I7</f>
        <v>0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0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0</v>
      </c>
      <c r="G9" s="339" t="s">
        <v>395</v>
      </c>
      <c r="H9" s="210" t="s">
        <v>324</v>
      </c>
      <c r="I9" s="312">
        <v>0</v>
      </c>
      <c r="J9" s="349" t="s">
        <v>410</v>
      </c>
      <c r="K9" s="209"/>
      <c r="L9" s="317">
        <f>I9</f>
        <v>0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</v>
      </c>
      <c r="G12" s="398" t="s">
        <v>398</v>
      </c>
      <c r="H12" s="209"/>
      <c r="I12" s="399">
        <f>F12</f>
        <v>0</v>
      </c>
      <c r="J12" s="400" t="s">
        <v>413</v>
      </c>
      <c r="K12" s="401"/>
      <c r="L12" s="402">
        <f>I12</f>
        <v>0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 t="e">
        <f>'Variante A'!B113</f>
        <v>#DIV/0!</v>
      </c>
      <c r="G16" s="338" t="s">
        <v>399</v>
      </c>
      <c r="H16" s="273"/>
      <c r="I16" s="281" t="e">
        <f>'Variante F 1-2'!B123</f>
        <v>#DIV/0!</v>
      </c>
      <c r="J16" s="338" t="s">
        <v>414</v>
      </c>
      <c r="K16" s="273"/>
      <c r="L16" s="322" t="e">
        <f aca="true" t="shared" si="0" ref="L16:L21">I16</f>
        <v>#DIV/0!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 t="e">
        <f>IF(F16&gt;F10,F16-F10,0)</f>
        <v>#DIV/0!</v>
      </c>
      <c r="G17" s="341" t="s">
        <v>400</v>
      </c>
      <c r="H17" s="212"/>
      <c r="I17" s="409" t="e">
        <f>IF(I16&gt;I10,I16-I10,0)</f>
        <v>#DIV/0!</v>
      </c>
      <c r="J17" s="341" t="s">
        <v>415</v>
      </c>
      <c r="K17" s="212"/>
      <c r="L17" s="375" t="e">
        <f t="shared" si="0"/>
        <v>#DIV/0!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 t="e">
        <f>'Variante A'!B43</f>
        <v>#DIV/0!</v>
      </c>
      <c r="G18" s="465" t="s">
        <v>401</v>
      </c>
      <c r="H18" s="387"/>
      <c r="I18" s="383" t="e">
        <f>'Variante F 1-2'!B43</f>
        <v>#DIV/0!</v>
      </c>
      <c r="J18" s="386" t="s">
        <v>416</v>
      </c>
      <c r="K18" s="387"/>
      <c r="L18" s="392" t="e">
        <f t="shared" si="0"/>
        <v>#DIV/0!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0</v>
      </c>
      <c r="G19" s="342" t="s">
        <v>402</v>
      </c>
      <c r="H19" s="212"/>
      <c r="I19" s="410" t="e">
        <f>I18/F18*F19</f>
        <v>#DIV/0!</v>
      </c>
      <c r="J19" s="342" t="s">
        <v>417</v>
      </c>
      <c r="K19" s="212"/>
      <c r="L19" s="411" t="e">
        <f t="shared" si="0"/>
        <v>#DIV/0!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 t="e">
        <f>'Variante A'!B44</f>
        <v>#DIV/0!</v>
      </c>
      <c r="G20" s="342" t="s">
        <v>403</v>
      </c>
      <c r="H20" s="212"/>
      <c r="I20" s="270" t="e">
        <f>'Variante F 1-2'!B44</f>
        <v>#DIV/0!</v>
      </c>
      <c r="J20" s="342" t="s">
        <v>418</v>
      </c>
      <c r="K20" s="212"/>
      <c r="L20" s="393" t="e">
        <f t="shared" si="0"/>
        <v>#DIV/0!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0</v>
      </c>
      <c r="G21" s="351" t="s">
        <v>404</v>
      </c>
      <c r="H21" s="212"/>
      <c r="I21" s="270" t="e">
        <f>F21*I20/F20</f>
        <v>#DIV/0!</v>
      </c>
      <c r="J21" s="342" t="s">
        <v>419</v>
      </c>
      <c r="K21" s="212"/>
      <c r="L21" s="378" t="e">
        <f t="shared" si="0"/>
        <v>#DIV/0!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0</v>
      </c>
      <c r="G22" s="343" t="s">
        <v>405</v>
      </c>
      <c r="H22" s="212" t="s">
        <v>498</v>
      </c>
      <c r="I22" s="226">
        <v>0</v>
      </c>
      <c r="J22" s="343" t="s">
        <v>420</v>
      </c>
      <c r="K22" s="212" t="s">
        <v>498</v>
      </c>
      <c r="L22" s="325">
        <v>0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 t="e">
        <f>'Variante A'!B43*F22/F26*'Variante A'!B44</f>
        <v>#DIV/0!</v>
      </c>
      <c r="G23" s="464" t="s">
        <v>406</v>
      </c>
      <c r="H23" s="215"/>
      <c r="I23" s="283" t="e">
        <f>'Variante F 1-2'!B43*'Variante F 1-2'!B44/I26*I22</f>
        <v>#DIV/0!</v>
      </c>
      <c r="J23" s="490" t="s">
        <v>545</v>
      </c>
      <c r="K23" s="492"/>
      <c r="L23" s="514" t="e">
        <f>'Variante F 1-2'!B43*'Variante F 1-2'!B44/L26*L22</f>
        <v>#DIV/0!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 t="e">
        <f>IF(F23-F11&gt;0,F23-F11,0)</f>
        <v>#DIV/0!</v>
      </c>
      <c r="G24" s="487" t="s">
        <v>363</v>
      </c>
      <c r="H24" s="489"/>
      <c r="I24" s="488" t="e">
        <f>IF(I23-I11&gt;0,I23-I11,0)</f>
        <v>#DIV/0!</v>
      </c>
      <c r="J24" s="491" t="s">
        <v>364</v>
      </c>
      <c r="K24" s="489"/>
      <c r="L24" s="515" t="e">
        <f>IF(L23-L11&gt;0,L23-L11,0)</f>
        <v>#DIV/0!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 t="e">
        <f>(F19*F21*365/F26)</f>
        <v>#DIV/0!</v>
      </c>
      <c r="G25" s="215" t="s">
        <v>365</v>
      </c>
      <c r="H25" s="215"/>
      <c r="I25" s="512" t="e">
        <f>(I19*I21*365/I26)</f>
        <v>#DIV/0!</v>
      </c>
      <c r="J25" s="215" t="s">
        <v>421</v>
      </c>
      <c r="K25" s="215"/>
      <c r="L25" s="516" t="e">
        <f>(L19*L21*365/L26)</f>
        <v>#DIV/0!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0</v>
      </c>
      <c r="G26" s="462" t="s">
        <v>366</v>
      </c>
      <c r="H26" s="212" t="s">
        <v>331</v>
      </c>
      <c r="I26" s="362">
        <v>0</v>
      </c>
      <c r="J26" s="462" t="s">
        <v>422</v>
      </c>
      <c r="K26" s="212"/>
      <c r="L26" s="378">
        <f>F26</f>
        <v>0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0</v>
      </c>
      <c r="G27" s="467" t="s">
        <v>367</v>
      </c>
      <c r="H27" s="466" t="s">
        <v>337</v>
      </c>
      <c r="I27" s="494">
        <v>0</v>
      </c>
      <c r="J27" s="467" t="s">
        <v>423</v>
      </c>
      <c r="K27" s="337" t="s">
        <v>338</v>
      </c>
      <c r="L27" s="495">
        <v>0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0</v>
      </c>
      <c r="J28" s="341" t="s">
        <v>424</v>
      </c>
      <c r="K28" s="274"/>
      <c r="L28" s="527">
        <f aca="true" t="shared" si="1" ref="L28:L34">I28</f>
        <v>0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0</v>
      </c>
      <c r="J29" s="341" t="s">
        <v>369</v>
      </c>
      <c r="K29" s="212"/>
      <c r="L29" s="505">
        <f t="shared" si="1"/>
        <v>0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0</v>
      </c>
      <c r="J30" s="341" t="s">
        <v>425</v>
      </c>
      <c r="K30" s="212"/>
      <c r="L30" s="323">
        <f t="shared" si="1"/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0</v>
      </c>
      <c r="J31" s="341" t="s">
        <v>426</v>
      </c>
      <c r="K31" s="212"/>
      <c r="L31" s="323">
        <f t="shared" si="1"/>
        <v>0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0</v>
      </c>
      <c r="J32" s="347" t="s">
        <v>427</v>
      </c>
      <c r="K32" s="212"/>
      <c r="L32" s="323">
        <f t="shared" si="1"/>
        <v>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</v>
      </c>
      <c r="J33" s="374" t="s">
        <v>428</v>
      </c>
      <c r="K33" s="212"/>
      <c r="L33" s="517">
        <f t="shared" si="1"/>
        <v>0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</v>
      </c>
      <c r="J34" s="476" t="s">
        <v>429</v>
      </c>
      <c r="K34" s="212"/>
      <c r="L34" s="513">
        <f t="shared" si="1"/>
        <v>0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 t="e">
        <f>'Variante A'!B80</f>
        <v>#DIV/0!</v>
      </c>
      <c r="G35" s="377" t="s">
        <v>376</v>
      </c>
      <c r="H35" s="382"/>
      <c r="I35" s="500" t="e">
        <f>'Variante F 1-2'!B83</f>
        <v>#DIV/0!</v>
      </c>
      <c r="J35" s="377" t="s">
        <v>430</v>
      </c>
      <c r="K35" s="382"/>
      <c r="L35" s="503" t="e">
        <f>I35</f>
        <v>#DIV/0!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0</v>
      </c>
      <c r="G36" s="344" t="s">
        <v>377</v>
      </c>
      <c r="H36" s="376" t="s">
        <v>459</v>
      </c>
      <c r="I36" s="501">
        <v>0</v>
      </c>
      <c r="J36" s="348" t="s">
        <v>466</v>
      </c>
      <c r="K36" s="376"/>
      <c r="L36" s="504">
        <f>I36</f>
        <v>0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0</v>
      </c>
      <c r="G37" s="344" t="s">
        <v>378</v>
      </c>
      <c r="H37" s="306" t="s">
        <v>343</v>
      </c>
      <c r="I37" s="295">
        <v>0</v>
      </c>
      <c r="J37" s="348" t="s">
        <v>467</v>
      </c>
      <c r="K37" s="306"/>
      <c r="L37" s="505">
        <f>I37</f>
        <v>0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 t="e">
        <f>'Variante F 1-2'!B86</f>
        <v>#DIV/0!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0</v>
      </c>
      <c r="J40" s="474" t="s">
        <v>433</v>
      </c>
      <c r="K40" s="306"/>
      <c r="L40" s="505">
        <f>I40</f>
        <v>0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0</v>
      </c>
      <c r="G41" s="471" t="s">
        <v>382</v>
      </c>
      <c r="H41" s="469" t="s">
        <v>345</v>
      </c>
      <c r="I41" s="494">
        <v>0</v>
      </c>
      <c r="J41" s="475" t="s">
        <v>434</v>
      </c>
      <c r="K41" s="469"/>
      <c r="L41" s="506">
        <f>I41</f>
        <v>0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 t="e">
        <f>IF(F17=0,0,'IK Becken Variante 1'!C10/F17)</f>
        <v>#DIV/0!</v>
      </c>
      <c r="G44" s="510"/>
      <c r="H44" s="511"/>
      <c r="I44" s="509" t="e">
        <f>IF(I17=0,0,'IK Becken Variante 2&amp;3 '!C11)</f>
        <v>#DIV/0!</v>
      </c>
      <c r="J44" s="381" t="s">
        <v>435</v>
      </c>
      <c r="K44" s="397"/>
      <c r="L44" s="508" t="e">
        <f>I44</f>
        <v>#DIV/0!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 t="e">
        <f>F44*F17</f>
        <v>#DIV/0!</v>
      </c>
      <c r="G45" s="352" t="s">
        <v>536</v>
      </c>
      <c r="H45" s="209"/>
      <c r="I45" s="524" t="e">
        <f>I17*I44</f>
        <v>#DIV/0!</v>
      </c>
      <c r="J45" s="354" t="s">
        <v>538</v>
      </c>
      <c r="K45" s="209"/>
      <c r="L45" s="525" t="e">
        <f>L44*L17</f>
        <v>#DIV/0!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 t="e">
        <f>'IK Becken Variante 1'!C41/183*F22</f>
        <v>#DIV/0!</v>
      </c>
      <c r="G48" s="351" t="s">
        <v>385</v>
      </c>
      <c r="H48" s="209"/>
      <c r="I48" s="300" t="e">
        <f>'IK Becken Variante 2&amp;3 '!C45</f>
        <v>#DIV/0!</v>
      </c>
      <c r="J48" s="351" t="s">
        <v>385</v>
      </c>
      <c r="K48" s="209"/>
      <c r="L48" s="327" t="e">
        <f>'IK Becken Variante 2&amp;3 '!C46</f>
        <v>#DIV/0!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0</v>
      </c>
      <c r="G53" s="352" t="s">
        <v>440</v>
      </c>
      <c r="H53" s="235"/>
      <c r="I53" s="313">
        <f>F53</f>
        <v>0</v>
      </c>
      <c r="J53" s="485" t="s">
        <v>440</v>
      </c>
      <c r="K53" s="484"/>
      <c r="L53" s="328">
        <f>I53</f>
        <v>0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0</v>
      </c>
      <c r="G57" s="341" t="s">
        <v>444</v>
      </c>
      <c r="H57" s="274"/>
      <c r="I57" s="281">
        <f>Stromkosten!F27</f>
        <v>0</v>
      </c>
      <c r="J57" s="341" t="s">
        <v>447</v>
      </c>
      <c r="K57" s="274"/>
      <c r="L57" s="322">
        <f>Stromkosten!K27</f>
        <v>0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 t="e">
        <f>F25*F27</f>
        <v>#DIV/0!</v>
      </c>
      <c r="G58" s="424" t="s">
        <v>445</v>
      </c>
      <c r="H58" s="215"/>
      <c r="I58" s="414" t="e">
        <f>I25*I27</f>
        <v>#DIV/0!</v>
      </c>
      <c r="J58" s="424" t="s">
        <v>448</v>
      </c>
      <c r="K58" s="215"/>
      <c r="L58" s="323" t="e">
        <f>L25*L27</f>
        <v>#DIV/0!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0</v>
      </c>
      <c r="J59" s="447" t="s">
        <v>507</v>
      </c>
      <c r="K59" s="481"/>
      <c r="L59" s="332">
        <f>'ele. und th. Erlös'!J14</f>
        <v>0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 t="e">
        <f>Projektkostenbarwertberechnung!B58</f>
        <v>#DIV/0!</v>
      </c>
      <c r="G62" s="432" t="s">
        <v>506</v>
      </c>
      <c r="H62" s="431"/>
      <c r="I62" s="436" t="e">
        <f>Projektkostenbarwertberechnung!D58</f>
        <v>#DIV/0!</v>
      </c>
      <c r="J62" s="432" t="s">
        <v>509</v>
      </c>
      <c r="K62" s="431"/>
      <c r="L62" s="433" t="e">
        <f>Projektkostenbarwertberechnung!F58</f>
        <v>#DIV/0!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0</v>
      </c>
      <c r="G66" s="355" t="s">
        <v>461</v>
      </c>
      <c r="H66" s="274"/>
      <c r="I66" s="270">
        <f>'CO2-Bilanz'!E54</f>
        <v>0</v>
      </c>
      <c r="J66" s="342" t="s">
        <v>465</v>
      </c>
      <c r="K66" s="274"/>
      <c r="L66" s="324">
        <f>'CO2-Bilanz'!H54</f>
        <v>0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</v>
      </c>
      <c r="G67" s="355" t="s">
        <v>494</v>
      </c>
      <c r="H67" s="215"/>
      <c r="I67" s="270">
        <f>'CO2-Bilanz'!E55</f>
        <v>0</v>
      </c>
      <c r="J67" s="342" t="s">
        <v>489</v>
      </c>
      <c r="K67" s="215"/>
      <c r="L67" s="324">
        <f>'CO2-Bilanz'!H55</f>
        <v>0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 t="e">
        <f>'CO2-Bilanz'!E56</f>
        <v>#DIV/0!</v>
      </c>
      <c r="J68" s="342" t="s">
        <v>490</v>
      </c>
      <c r="K68" s="215"/>
      <c r="L68" s="324" t="e">
        <f>'CO2-Bilanz'!H56</f>
        <v>#DIV/0!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0</v>
      </c>
      <c r="J69" s="342" t="s">
        <v>491</v>
      </c>
      <c r="K69" s="215"/>
      <c r="L69" s="324">
        <f>'CO2-Bilanz'!H57</f>
        <v>0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0</v>
      </c>
      <c r="J70" s="468" t="s">
        <v>520</v>
      </c>
      <c r="K70" s="215"/>
      <c r="L70" s="324">
        <f>'CO2-Bilanz'!H58</f>
        <v>0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0</v>
      </c>
      <c r="G71" s="356" t="s">
        <v>540</v>
      </c>
      <c r="H71" s="291"/>
      <c r="I71" s="293" t="e">
        <f>SUM(I66:I70)</f>
        <v>#DIV/0!</v>
      </c>
      <c r="J71" s="357" t="s">
        <v>541</v>
      </c>
      <c r="K71" s="291"/>
      <c r="L71" s="334" t="e">
        <f>SUM(L66:L70)</f>
        <v>#DIV/0!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0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0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0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 t="e">
        <f>I68</f>
        <v>#DIV/0!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 t="e">
        <f>L68</f>
        <v>#DIV/0!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0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0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0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0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0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 t="e">
        <f>I71</f>
        <v>#DIV/0!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 t="e">
        <f>L71</f>
        <v>#DIV/0!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0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0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0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 t="e">
        <f>I68</f>
        <v>#DIV/0!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 t="e">
        <f>L68</f>
        <v>#DIV/0!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0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0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0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0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0</v>
      </c>
      <c r="AF828" s="336" t="s">
        <v>318</v>
      </c>
    </row>
    <row r="829" spans="31:32" ht="15.75">
      <c r="AE829" s="335" t="e">
        <f>I71</f>
        <v>#DIV/0!</v>
      </c>
      <c r="AF829" s="336" t="s">
        <v>318</v>
      </c>
    </row>
    <row r="830" spans="31:32" ht="15.75">
      <c r="AE830" s="335" t="e">
        <f>L71</f>
        <v>#DIV/0!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0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0</v>
      </c>
      <c r="D18" s="249" t="s">
        <v>216</v>
      </c>
      <c r="E18" s="244">
        <f>Stromkosten!F15*'Variante A'!B3</f>
        <v>0</v>
      </c>
      <c r="G18" s="249" t="s">
        <v>216</v>
      </c>
      <c r="H18" s="244">
        <f>Stromkosten!K15*'Variante A'!B3</f>
        <v>0</v>
      </c>
    </row>
    <row r="19" spans="1:8" ht="12.75">
      <c r="A19" s="238" t="s">
        <v>217</v>
      </c>
      <c r="B19" s="244">
        <f>Stromkosten!B16*'Variante A'!B3</f>
        <v>0</v>
      </c>
      <c r="D19" s="238" t="s">
        <v>217</v>
      </c>
      <c r="E19" s="244">
        <f>Stromkosten!F16*'Variante A'!B3</f>
        <v>0</v>
      </c>
      <c r="F19" s="250"/>
      <c r="G19" s="238" t="s">
        <v>217</v>
      </c>
      <c r="H19" s="244">
        <f>Stromkosten!K16*1.2*'Variante A'!B3</f>
        <v>0</v>
      </c>
    </row>
    <row r="20" spans="1:8" ht="12.75">
      <c r="A20" s="238" t="s">
        <v>180</v>
      </c>
      <c r="B20" s="244">
        <f>B14*(B19+B18)/10^6</f>
        <v>0</v>
      </c>
      <c r="D20" s="238" t="s">
        <v>180</v>
      </c>
      <c r="E20" s="251">
        <f>B14*(E18+E19)/10^6</f>
        <v>0</v>
      </c>
      <c r="F20" s="251"/>
      <c r="G20" s="238" t="s">
        <v>180</v>
      </c>
      <c r="H20" s="251">
        <f>(H19+H18)*B14/10^6</f>
        <v>0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0</v>
      </c>
      <c r="F23" s="250"/>
      <c r="G23" s="249" t="s">
        <v>200</v>
      </c>
      <c r="H23" s="250">
        <f>'Variante A'!B5</f>
        <v>0</v>
      </c>
    </row>
    <row r="24" spans="1:8" ht="12.75">
      <c r="A24" s="249"/>
      <c r="B24" s="522"/>
      <c r="D24" s="249" t="s">
        <v>183</v>
      </c>
      <c r="E24" s="250" t="e">
        <f>'Dateneingabe und Ergebnisse'!I25</f>
        <v>#DIV/0!</v>
      </c>
      <c r="F24" s="250"/>
      <c r="G24" s="249" t="s">
        <v>183</v>
      </c>
      <c r="H24" s="250" t="e">
        <f>'Dateneingabe und Ergebnisse'!L25</f>
        <v>#DIV/0!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 t="e">
        <f>E24/E25*E23*2</f>
        <v>#DIV/0!</v>
      </c>
      <c r="F26" s="250"/>
      <c r="G26" s="249" t="s">
        <v>185</v>
      </c>
      <c r="H26" s="250" t="e">
        <f>H24/H25*H23*2</f>
        <v>#DIV/0!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 t="e">
        <f>E26</f>
        <v>#DIV/0!</v>
      </c>
      <c r="F33" s="250"/>
      <c r="G33" s="249" t="s">
        <v>184</v>
      </c>
      <c r="H33" s="252" t="e">
        <f>H26</f>
        <v>#DIV/0!</v>
      </c>
    </row>
    <row r="34" spans="1:8" ht="12.75">
      <c r="A34" s="249"/>
      <c r="B34" s="251"/>
      <c r="D34" s="249" t="s">
        <v>180</v>
      </c>
      <c r="E34" s="248" t="e">
        <f>E33*B10/10^6</f>
        <v>#DIV/0!</v>
      </c>
      <c r="F34" s="248"/>
      <c r="G34" s="249" t="s">
        <v>180</v>
      </c>
      <c r="H34" s="248" t="e">
        <f>H33*B10/10^6</f>
        <v>#DIV/0!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0</v>
      </c>
      <c r="D37" s="238" t="s">
        <v>189</v>
      </c>
      <c r="E37" s="251" t="e">
        <f>E34+E20</f>
        <v>#DIV/0!</v>
      </c>
      <c r="F37" s="251"/>
      <c r="G37" s="238" t="s">
        <v>189</v>
      </c>
      <c r="H37" s="251" t="e">
        <f>H34+H20</f>
        <v>#DIV/0!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0</v>
      </c>
      <c r="F40" s="250"/>
      <c r="G40" s="238" t="s">
        <v>193</v>
      </c>
      <c r="H40" s="250">
        <f>'ele. und th. Erlös'!J7</f>
        <v>0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0</v>
      </c>
      <c r="F41" s="250"/>
      <c r="G41" s="238" t="s">
        <v>194</v>
      </c>
      <c r="H41" s="250">
        <f>'ele. und th. Erlös'!J8</f>
        <v>0</v>
      </c>
    </row>
    <row r="42" spans="1:8" ht="12.75">
      <c r="A42" s="244"/>
      <c r="D42" s="238" t="s">
        <v>192</v>
      </c>
      <c r="E42" s="251">
        <f>E40*B14/10^6</f>
        <v>0</v>
      </c>
      <c r="F42" s="251"/>
      <c r="G42" s="238" t="s">
        <v>192</v>
      </c>
      <c r="H42" s="248">
        <f>H40*B14/10^6</f>
        <v>0</v>
      </c>
    </row>
    <row r="43" spans="4:8" ht="12.75">
      <c r="D43" s="238" t="s">
        <v>197</v>
      </c>
      <c r="E43" s="251">
        <f>E41*B15/10^6</f>
        <v>0</v>
      </c>
      <c r="F43" s="251" t="s">
        <v>195</v>
      </c>
      <c r="G43" s="238" t="s">
        <v>197</v>
      </c>
      <c r="H43" s="248">
        <f>H41*B15/10^6</f>
        <v>0</v>
      </c>
    </row>
    <row r="44" spans="4:8" ht="12.75">
      <c r="D44" s="238" t="s">
        <v>196</v>
      </c>
      <c r="E44" s="251">
        <f>E43+E42</f>
        <v>0</v>
      </c>
      <c r="G44" s="238" t="s">
        <v>196</v>
      </c>
      <c r="H44" s="251">
        <f>H43+H42</f>
        <v>0</v>
      </c>
    </row>
    <row r="46" spans="1:8" ht="12.75">
      <c r="A46" s="243" t="s">
        <v>198</v>
      </c>
      <c r="B46" s="256">
        <f>B37</f>
        <v>0</v>
      </c>
      <c r="D46" s="243" t="s">
        <v>198</v>
      </c>
      <c r="E46" s="256" t="e">
        <f>E37-E44</f>
        <v>#DIV/0!</v>
      </c>
      <c r="G46" s="243" t="s">
        <v>198</v>
      </c>
      <c r="H46" s="256" t="e">
        <f>H37-H44</f>
        <v>#DIV/0!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0</v>
      </c>
      <c r="D54" s="249" t="s">
        <v>210</v>
      </c>
      <c r="E54" s="251">
        <f>E18*$B$14/10^6</f>
        <v>0</v>
      </c>
      <c r="G54" s="249" t="s">
        <v>210</v>
      </c>
      <c r="H54" s="251">
        <f>H18*$B$14/10^6</f>
        <v>0</v>
      </c>
    </row>
    <row r="55" spans="1:8" ht="12.75">
      <c r="A55" s="238" t="s">
        <v>108</v>
      </c>
      <c r="B55" s="251">
        <f>B19*$B$14/10^6</f>
        <v>0</v>
      </c>
      <c r="D55" s="238" t="s">
        <v>108</v>
      </c>
      <c r="E55" s="251">
        <f>E19*$B$14/10^6</f>
        <v>0</v>
      </c>
      <c r="G55" s="238" t="s">
        <v>108</v>
      </c>
      <c r="H55" s="251">
        <f>H19*$B$14/10^6</f>
        <v>0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 t="e">
        <f>E34</f>
        <v>#DIV/0!</v>
      </c>
      <c r="G56" s="238" t="s">
        <v>218</v>
      </c>
      <c r="H56" s="248" t="e">
        <f>H34</f>
        <v>#DIV/0!</v>
      </c>
    </row>
    <row r="57" spans="1:8" ht="12.75">
      <c r="A57" s="238" t="s">
        <v>222</v>
      </c>
      <c r="B57" s="251">
        <f>B46</f>
        <v>0</v>
      </c>
      <c r="D57" s="238" t="s">
        <v>220</v>
      </c>
      <c r="E57" s="251">
        <f>E42*(-1)</f>
        <v>0</v>
      </c>
      <c r="G57" s="238" t="s">
        <v>220</v>
      </c>
      <c r="H57" s="248">
        <f>H42*(-1)</f>
        <v>0</v>
      </c>
    </row>
    <row r="58" spans="4:8" ht="12.75">
      <c r="D58" s="238" t="s">
        <v>221</v>
      </c>
      <c r="E58" s="251">
        <f>E43*(-1)</f>
        <v>0</v>
      </c>
      <c r="G58" s="238" t="s">
        <v>221</v>
      </c>
      <c r="H58" s="248">
        <f>H43*(-1)</f>
        <v>0</v>
      </c>
    </row>
    <row r="59" spans="4:8" ht="12.75">
      <c r="D59" s="238" t="s">
        <v>222</v>
      </c>
      <c r="E59" s="251" t="e">
        <f>E46</f>
        <v>#DIV/0!</v>
      </c>
      <c r="G59" s="238" t="s">
        <v>222</v>
      </c>
      <c r="H59" s="251" t="e">
        <f>H46</f>
        <v>#DIV/0!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0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0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0</v>
      </c>
      <c r="C15" s="53" t="s">
        <v>30</v>
      </c>
      <c r="E15" s="2" t="s">
        <v>210</v>
      </c>
      <c r="F15" s="122">
        <f>'Dateneingabe und Ergebnisse'!I36+'Dateneingabe und Ergebnisse'!I37</f>
        <v>0</v>
      </c>
      <c r="G15" s="53" t="s">
        <v>30</v>
      </c>
      <c r="J15" s="2" t="s">
        <v>210</v>
      </c>
      <c r="K15" s="122">
        <f>'Dateneingabe und Ergebnisse'!L36+'Dateneingabe und Ergebnisse'!L37</f>
        <v>0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0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0</v>
      </c>
      <c r="G16" s="53" t="s">
        <v>30</v>
      </c>
      <c r="J16" s="2" t="s">
        <v>108</v>
      </c>
      <c r="K16" s="122">
        <f>'Dateneingabe und Ergebnisse'!L40+'Dateneingabe und Ergebnisse'!L41</f>
        <v>0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0</v>
      </c>
      <c r="C23" s="53" t="s">
        <v>30</v>
      </c>
      <c r="E23" s="110" t="s">
        <v>142</v>
      </c>
      <c r="F23" s="122">
        <f>F15+F16</f>
        <v>0</v>
      </c>
      <c r="G23" s="53" t="s">
        <v>30</v>
      </c>
      <c r="H23" s="53"/>
      <c r="J23" s="110" t="s">
        <v>142</v>
      </c>
      <c r="K23" s="122">
        <f>K15+K16</f>
        <v>0</v>
      </c>
      <c r="L23" s="53" t="s">
        <v>30</v>
      </c>
    </row>
    <row r="25" spans="1:12" ht="12.75">
      <c r="A25" s="110" t="s">
        <v>140</v>
      </c>
      <c r="B25" s="102">
        <f>B23*'Dateneingabe und Ergebnisse'!F6</f>
        <v>0</v>
      </c>
      <c r="C25" s="53" t="s">
        <v>144</v>
      </c>
      <c r="E25" s="110" t="s">
        <v>140</v>
      </c>
      <c r="F25" s="102">
        <f>F23*'Dateneingabe und Ergebnisse'!F6</f>
        <v>0</v>
      </c>
      <c r="G25" s="53" t="s">
        <v>144</v>
      </c>
      <c r="H25" s="53"/>
      <c r="J25" s="110" t="s">
        <v>140</v>
      </c>
      <c r="K25" s="102">
        <f>K23*'Dateneingabe und Ergebnisse'!F6</f>
        <v>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0</v>
      </c>
      <c r="C27" t="s">
        <v>146</v>
      </c>
      <c r="E27" t="s">
        <v>145</v>
      </c>
      <c r="F27" s="106">
        <f>F25*B9/100</f>
        <v>0</v>
      </c>
      <c r="G27" t="s">
        <v>146</v>
      </c>
      <c r="J27" t="s">
        <v>145</v>
      </c>
      <c r="K27" s="106">
        <f>K25*B9/100</f>
        <v>0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0</v>
      </c>
      <c r="D2" s="240"/>
      <c r="E2" s="238" t="e">
        <f>$C$2/'Dateneingabe und Ergebnisse'!$F$23*'Dateneingabe und Ergebnisse'!$F$24</f>
        <v>#DIV/0!</v>
      </c>
      <c r="F2" s="238" t="e">
        <f>$C$2/'Dateneingabe und Ergebnisse'!$F$23*'Dateneingabe und Ergebnisse'!$F$24</f>
        <v>#DIV/0!</v>
      </c>
      <c r="G2" s="240"/>
      <c r="H2" s="240"/>
      <c r="I2" s="240"/>
    </row>
    <row r="3" spans="1:9" ht="12.75">
      <c r="A3" s="238" t="s">
        <v>211</v>
      </c>
      <c r="C3" s="239">
        <f>'Variante A'!B5</f>
        <v>0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 t="e">
        <f>'Variante F 1-2'!B123</f>
        <v>#DIV/0!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 t="e">
        <f>IF(C6&gt;C5,C6-C5,0)</f>
        <v>#DIV/0!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 t="e">
        <f>IF(C7=0,0,C30+C33+C31*C7+C34*C7)</f>
        <v>#DIV/0!</v>
      </c>
      <c r="D10" s="249" t="s">
        <v>237</v>
      </c>
      <c r="I10" s="240"/>
    </row>
    <row r="11" spans="1:9" ht="12.75">
      <c r="A11" s="263"/>
      <c r="B11" s="249" t="s">
        <v>275</v>
      </c>
      <c r="C11" s="265" t="e">
        <f>IF(C7=0,0,C10/C7)</f>
        <v>#DIV/0!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 t="e">
        <f>'Dateneingabe und Ergebnisse'!I23</f>
        <v>#DIV/0!</v>
      </c>
      <c r="D43" s="249"/>
      <c r="I43" s="240"/>
    </row>
    <row r="44" spans="1:9" ht="12.75">
      <c r="A44" s="263"/>
      <c r="B44" s="249" t="s">
        <v>547</v>
      </c>
      <c r="C44" s="265" t="e">
        <f>'Dateneingabe und Ergebnisse'!L23</f>
        <v>#DIV/0!</v>
      </c>
      <c r="D44" s="249"/>
      <c r="I44" s="240"/>
    </row>
    <row r="45" spans="1:9" ht="12.75">
      <c r="A45" s="249" t="s">
        <v>320</v>
      </c>
      <c r="B45" s="249" t="s">
        <v>276</v>
      </c>
      <c r="C45" s="265" t="e">
        <f>IF('Dateneingabe und Ergebnisse'!F24=0,0,284.04*(F2/'Dateneingabe und Ergebnisse'!F23*C43)^(-0.2409)*C43/'Dateneingabe und Ergebnisse'!F23*'IK Becken Variante 2&amp;3 '!F2)</f>
        <v>#DIV/0!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 t="e">
        <f>IF('Dateneingabe und Ergebnisse'!L24=0,0,284.04*(E2/'Dateneingabe und Ergebnisse'!F23*C44)^(-0.2409)*C44/'Dateneingabe und Ergebnisse'!F23*'IK Becken Variante 2&amp;3 '!E2)</f>
        <v>#DIV/0!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0</v>
      </c>
      <c r="F3" s="48"/>
    </row>
    <row r="4" spans="1:6" ht="12.75">
      <c r="A4" s="48" t="s">
        <v>114</v>
      </c>
      <c r="B4" s="131">
        <f>'Dateneingabe und Ergebnisse'!F53</f>
        <v>0</v>
      </c>
      <c r="C4" s="48"/>
      <c r="D4" s="48" t="s">
        <v>211</v>
      </c>
      <c r="E4" s="170">
        <f>'Variante A'!B5</f>
        <v>0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 t="e">
        <f>B29+B30+B31+B32</f>
        <v>#DIV/0!</v>
      </c>
      <c r="C28" s="176" t="s">
        <v>120</v>
      </c>
      <c r="D28" s="167" t="e">
        <f>D29+D30+D31+D32</f>
        <v>#DIV/0!</v>
      </c>
      <c r="E28" s="177" t="s">
        <v>120</v>
      </c>
      <c r="F28" s="201" t="e">
        <f>F29+F30+F31+F32</f>
        <v>#DIV/0!</v>
      </c>
      <c r="G28" s="104"/>
    </row>
    <row r="29" spans="1:7" ht="12.75">
      <c r="A29" s="175" t="s">
        <v>121</v>
      </c>
      <c r="B29" s="166">
        <f>Stromkosten!B27</f>
        <v>0</v>
      </c>
      <c r="C29" s="182" t="s">
        <v>121</v>
      </c>
      <c r="D29" s="181">
        <f>Stromkosten!F27</f>
        <v>0</v>
      </c>
      <c r="E29" s="184" t="s">
        <v>121</v>
      </c>
      <c r="F29" s="181">
        <f>Stromkosten!K27</f>
        <v>0</v>
      </c>
      <c r="G29" s="103"/>
    </row>
    <row r="30" spans="1:7" ht="12.75">
      <c r="A30" s="182" t="s">
        <v>159</v>
      </c>
      <c r="B30" s="166" t="e">
        <f>'Dateneingabe und Ergebnisse'!F27*'Dateneingabe und Ergebnisse'!F25</f>
        <v>#DIV/0!</v>
      </c>
      <c r="C30" s="182" t="s">
        <v>159</v>
      </c>
      <c r="D30" s="181" t="e">
        <f>'Dateneingabe und Ergebnisse'!I27*'Dateneingabe und Ergebnisse'!I25</f>
        <v>#DIV/0!</v>
      </c>
      <c r="E30" s="184" t="s">
        <v>159</v>
      </c>
      <c r="F30" s="181" t="e">
        <f>'Dateneingabe und Ergebnisse'!L27*'Dateneingabe und Ergebnisse'!L25</f>
        <v>#DIV/0!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0</v>
      </c>
      <c r="E31" s="184" t="s">
        <v>160</v>
      </c>
      <c r="F31" s="181">
        <f>'ele. und th. Erlös'!J14</f>
        <v>0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 t="e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#DIV/0!</v>
      </c>
      <c r="C34" s="122"/>
      <c r="D34" s="102" t="e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#DIV/0!</v>
      </c>
      <c r="E34" s="102"/>
      <c r="F34" s="102" t="e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#DIV/0!</v>
      </c>
      <c r="G34" s="122"/>
      <c r="K34" s="105" t="e">
        <f aca="true" t="shared" si="0" ref="K34:K65">($B$7^A34-1)/(($B$7-1)*$B$7^A34)</f>
        <v>#DIV/0!</v>
      </c>
      <c r="L34" s="105">
        <f aca="true" t="shared" si="1" ref="L34:L65">1/$B$7^A34</f>
        <v>1</v>
      </c>
    </row>
    <row r="35" spans="1:12" ht="12.75">
      <c r="A35">
        <v>2</v>
      </c>
      <c r="B35" s="102" t="e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#DIV/0!</v>
      </c>
      <c r="C35" s="122"/>
      <c r="D35" s="102" t="e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#DIV/0!</v>
      </c>
      <c r="E35" s="102"/>
      <c r="F35" s="102" t="e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#DIV/0!</v>
      </c>
      <c r="G35" s="122"/>
      <c r="K35" s="105" t="e">
        <f t="shared" si="0"/>
        <v>#DIV/0!</v>
      </c>
      <c r="L35" s="105">
        <f t="shared" si="1"/>
        <v>1</v>
      </c>
    </row>
    <row r="36" spans="1:12" ht="12.75">
      <c r="A36">
        <v>3</v>
      </c>
      <c r="B36" s="102" t="e">
        <f t="shared" si="2"/>
        <v>#DIV/0!</v>
      </c>
      <c r="C36" s="122"/>
      <c r="D36" s="102" t="e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#DIV/0!</v>
      </c>
      <c r="E36" s="102"/>
      <c r="F36" s="102" t="e">
        <f t="shared" si="3"/>
        <v>#DIV/0!</v>
      </c>
      <c r="G36" s="122"/>
      <c r="K36" s="105" t="e">
        <f t="shared" si="0"/>
        <v>#DIV/0!</v>
      </c>
      <c r="L36" s="105">
        <f t="shared" si="1"/>
        <v>1</v>
      </c>
    </row>
    <row r="37" spans="1:12" ht="12.75">
      <c r="A37">
        <v>4</v>
      </c>
      <c r="B37" s="102" t="e">
        <f t="shared" si="2"/>
        <v>#DIV/0!</v>
      </c>
      <c r="C37" s="122"/>
      <c r="D37" s="102" t="e">
        <f t="shared" si="4"/>
        <v>#DIV/0!</v>
      </c>
      <c r="E37" s="102"/>
      <c r="F37" s="102" t="e">
        <f t="shared" si="3"/>
        <v>#DIV/0!</v>
      </c>
      <c r="G37" s="122"/>
      <c r="K37" s="105" t="e">
        <f t="shared" si="0"/>
        <v>#DIV/0!</v>
      </c>
      <c r="L37" s="105">
        <f t="shared" si="1"/>
        <v>1</v>
      </c>
    </row>
    <row r="38" spans="1:12" ht="12.75">
      <c r="A38">
        <v>5</v>
      </c>
      <c r="B38" s="102" t="e">
        <f t="shared" si="2"/>
        <v>#DIV/0!</v>
      </c>
      <c r="C38" s="122"/>
      <c r="D38" s="102" t="e">
        <f t="shared" si="4"/>
        <v>#DIV/0!</v>
      </c>
      <c r="E38" s="102"/>
      <c r="F38" s="102" t="e">
        <f t="shared" si="3"/>
        <v>#DIV/0!</v>
      </c>
      <c r="G38" s="122"/>
      <c r="K38" s="105" t="e">
        <f t="shared" si="0"/>
        <v>#DIV/0!</v>
      </c>
      <c r="L38" s="105">
        <f t="shared" si="1"/>
        <v>1</v>
      </c>
    </row>
    <row r="39" spans="1:12" ht="12.75">
      <c r="A39">
        <v>6</v>
      </c>
      <c r="B39" s="102" t="e">
        <f t="shared" si="2"/>
        <v>#DIV/0!</v>
      </c>
      <c r="C39" s="122"/>
      <c r="D39" s="102" t="e">
        <f t="shared" si="4"/>
        <v>#DIV/0!</v>
      </c>
      <c r="E39" s="102"/>
      <c r="F39" s="102" t="e">
        <f t="shared" si="3"/>
        <v>#DIV/0!</v>
      </c>
      <c r="G39" s="122"/>
      <c r="K39" s="105" t="e">
        <f t="shared" si="0"/>
        <v>#DIV/0!</v>
      </c>
      <c r="L39" s="105">
        <f t="shared" si="1"/>
        <v>1</v>
      </c>
    </row>
    <row r="40" spans="1:12" ht="12.75">
      <c r="A40">
        <v>7</v>
      </c>
      <c r="B40" s="102" t="e">
        <f t="shared" si="2"/>
        <v>#DIV/0!</v>
      </c>
      <c r="C40" s="122"/>
      <c r="D40" s="102" t="e">
        <f t="shared" si="4"/>
        <v>#DIV/0!</v>
      </c>
      <c r="E40" s="102"/>
      <c r="F40" s="102" t="e">
        <f t="shared" si="3"/>
        <v>#DIV/0!</v>
      </c>
      <c r="G40" s="122"/>
      <c r="K40" s="105" t="e">
        <f t="shared" si="0"/>
        <v>#DIV/0!</v>
      </c>
      <c r="L40" s="105">
        <f t="shared" si="1"/>
        <v>1</v>
      </c>
    </row>
    <row r="41" spans="1:12" ht="12.75">
      <c r="A41">
        <v>8</v>
      </c>
      <c r="B41" s="102" t="e">
        <f t="shared" si="2"/>
        <v>#DIV/0!</v>
      </c>
      <c r="C41" s="122"/>
      <c r="D41" s="102" t="e">
        <f t="shared" si="4"/>
        <v>#DIV/0!</v>
      </c>
      <c r="E41" s="102"/>
      <c r="F41" s="102" t="e">
        <f t="shared" si="3"/>
        <v>#DIV/0!</v>
      </c>
      <c r="G41" s="122"/>
      <c r="K41" s="105" t="e">
        <f t="shared" si="0"/>
        <v>#DIV/0!</v>
      </c>
      <c r="L41" s="105">
        <f t="shared" si="1"/>
        <v>1</v>
      </c>
    </row>
    <row r="42" spans="1:12" ht="12.75">
      <c r="A42">
        <v>9</v>
      </c>
      <c r="B42" s="102" t="e">
        <f t="shared" si="2"/>
        <v>#DIV/0!</v>
      </c>
      <c r="C42" s="122"/>
      <c r="D42" s="102" t="e">
        <f t="shared" si="4"/>
        <v>#DIV/0!</v>
      </c>
      <c r="E42" s="102"/>
      <c r="F42" s="102" t="e">
        <f t="shared" si="3"/>
        <v>#DIV/0!</v>
      </c>
      <c r="G42" s="122"/>
      <c r="K42" s="105" t="e">
        <f t="shared" si="0"/>
        <v>#DIV/0!</v>
      </c>
      <c r="L42" s="105">
        <f t="shared" si="1"/>
        <v>1</v>
      </c>
    </row>
    <row r="43" spans="1:12" ht="12.75">
      <c r="A43">
        <v>10</v>
      </c>
      <c r="B43" s="102" t="e">
        <f t="shared" si="2"/>
        <v>#DIV/0!</v>
      </c>
      <c r="C43" s="122"/>
      <c r="D43" s="102" t="e">
        <f t="shared" si="4"/>
        <v>#DIV/0!</v>
      </c>
      <c r="E43" s="102"/>
      <c r="F43" s="102" t="e">
        <f t="shared" si="3"/>
        <v>#DIV/0!</v>
      </c>
      <c r="G43" s="122"/>
      <c r="K43" s="105" t="e">
        <f t="shared" si="0"/>
        <v>#DIV/0!</v>
      </c>
      <c r="L43" s="105">
        <f t="shared" si="1"/>
        <v>1</v>
      </c>
    </row>
    <row r="44" spans="1:12" ht="12.75">
      <c r="A44">
        <v>11</v>
      </c>
      <c r="B44" s="102" t="e">
        <f t="shared" si="2"/>
        <v>#DIV/0!</v>
      </c>
      <c r="C44" s="122"/>
      <c r="D44" s="102" t="e">
        <f t="shared" si="4"/>
        <v>#DIV/0!</v>
      </c>
      <c r="E44" s="102"/>
      <c r="F44" s="102" t="e">
        <f t="shared" si="3"/>
        <v>#DIV/0!</v>
      </c>
      <c r="G44" s="122"/>
      <c r="K44" s="105" t="e">
        <f t="shared" si="0"/>
        <v>#DIV/0!</v>
      </c>
      <c r="L44" s="105">
        <f t="shared" si="1"/>
        <v>1</v>
      </c>
    </row>
    <row r="45" spans="1:13" ht="12.75">
      <c r="A45">
        <v>12</v>
      </c>
      <c r="B45" s="102" t="e">
        <f t="shared" si="2"/>
        <v>#DIV/0!</v>
      </c>
      <c r="C45" s="122"/>
      <c r="D45" s="102" t="e">
        <f t="shared" si="4"/>
        <v>#DIV/0!</v>
      </c>
      <c r="E45" s="102"/>
      <c r="F45" s="102" t="e">
        <f t="shared" si="3"/>
        <v>#DIV/0!</v>
      </c>
      <c r="G45" s="122"/>
      <c r="K45" s="105" t="e">
        <f t="shared" si="0"/>
        <v>#DIV/0!</v>
      </c>
      <c r="L45" s="105">
        <f t="shared" si="1"/>
        <v>1</v>
      </c>
      <c r="M45">
        <f>(L45+L46)/2</f>
        <v>1</v>
      </c>
    </row>
    <row r="46" spans="1:12" ht="12.75">
      <c r="A46">
        <v>13</v>
      </c>
      <c r="B46" s="102" t="e">
        <f t="shared" si="2"/>
        <v>#DIV/0!</v>
      </c>
      <c r="C46" s="122"/>
      <c r="D46" s="102" t="e">
        <f t="shared" si="4"/>
        <v>#DIV/0!</v>
      </c>
      <c r="E46" s="102"/>
      <c r="F46" s="102" t="e">
        <f t="shared" si="3"/>
        <v>#DIV/0!</v>
      </c>
      <c r="G46" s="122"/>
      <c r="K46" s="105" t="e">
        <f t="shared" si="0"/>
        <v>#DIV/0!</v>
      </c>
      <c r="L46" s="105">
        <f t="shared" si="1"/>
        <v>1</v>
      </c>
    </row>
    <row r="47" spans="1:12" ht="12.75">
      <c r="A47">
        <v>14</v>
      </c>
      <c r="B47" s="102" t="e">
        <f t="shared" si="2"/>
        <v>#DIV/0!</v>
      </c>
      <c r="C47" s="122"/>
      <c r="D47" s="102" t="e">
        <f t="shared" si="4"/>
        <v>#DIV/0!</v>
      </c>
      <c r="E47" s="102"/>
      <c r="F47" s="102" t="e">
        <f t="shared" si="3"/>
        <v>#DIV/0!</v>
      </c>
      <c r="G47" s="122"/>
      <c r="K47" s="105" t="e">
        <f t="shared" si="0"/>
        <v>#DIV/0!</v>
      </c>
      <c r="L47" s="105">
        <f t="shared" si="1"/>
        <v>1</v>
      </c>
    </row>
    <row r="48" spans="1:12" ht="12.75">
      <c r="A48">
        <v>15</v>
      </c>
      <c r="B48" s="102" t="e">
        <f t="shared" si="2"/>
        <v>#DIV/0!</v>
      </c>
      <c r="C48" s="122"/>
      <c r="D48" s="102" t="e">
        <f t="shared" si="4"/>
        <v>#DIV/0!</v>
      </c>
      <c r="E48" s="102"/>
      <c r="F48" s="102" t="e">
        <f t="shared" si="3"/>
        <v>#DIV/0!</v>
      </c>
      <c r="G48" s="122"/>
      <c r="K48" s="105" t="e">
        <f t="shared" si="0"/>
        <v>#DIV/0!</v>
      </c>
      <c r="L48" s="105">
        <f t="shared" si="1"/>
        <v>1</v>
      </c>
    </row>
    <row r="49" spans="1:12" ht="12.75">
      <c r="A49">
        <v>16</v>
      </c>
      <c r="B49" s="102" t="e">
        <f t="shared" si="2"/>
        <v>#DIV/0!</v>
      </c>
      <c r="C49" s="122"/>
      <c r="D49" s="102" t="e">
        <f t="shared" si="4"/>
        <v>#DIV/0!</v>
      </c>
      <c r="E49" s="102"/>
      <c r="F49" s="102" t="e">
        <f t="shared" si="3"/>
        <v>#DIV/0!</v>
      </c>
      <c r="G49" s="122"/>
      <c r="K49" s="105" t="e">
        <f t="shared" si="0"/>
        <v>#DIV/0!</v>
      </c>
      <c r="L49" s="105">
        <f t="shared" si="1"/>
        <v>1</v>
      </c>
    </row>
    <row r="50" spans="1:12" ht="12.75">
      <c r="A50">
        <v>17</v>
      </c>
      <c r="B50" s="102" t="e">
        <f t="shared" si="2"/>
        <v>#DIV/0!</v>
      </c>
      <c r="C50" s="122"/>
      <c r="D50" s="102" t="e">
        <f t="shared" si="4"/>
        <v>#DIV/0!</v>
      </c>
      <c r="E50" s="102"/>
      <c r="F50" s="102" t="e">
        <f t="shared" si="3"/>
        <v>#DIV/0!</v>
      </c>
      <c r="G50" s="122"/>
      <c r="K50" s="105" t="e">
        <f t="shared" si="0"/>
        <v>#DIV/0!</v>
      </c>
      <c r="L50" s="105">
        <f t="shared" si="1"/>
        <v>1</v>
      </c>
    </row>
    <row r="51" spans="1:12" ht="12.75">
      <c r="A51">
        <v>18</v>
      </c>
      <c r="B51" s="102" t="e">
        <f t="shared" si="2"/>
        <v>#DIV/0!</v>
      </c>
      <c r="C51" s="122"/>
      <c r="D51" s="102" t="e">
        <f t="shared" si="4"/>
        <v>#DIV/0!</v>
      </c>
      <c r="E51" s="102"/>
      <c r="F51" s="102" t="e">
        <f t="shared" si="3"/>
        <v>#DIV/0!</v>
      </c>
      <c r="G51" s="122"/>
      <c r="K51" s="105" t="e">
        <f t="shared" si="0"/>
        <v>#DIV/0!</v>
      </c>
      <c r="L51" s="105">
        <f t="shared" si="1"/>
        <v>1</v>
      </c>
    </row>
    <row r="52" spans="1:12" ht="12.75">
      <c r="A52">
        <v>19</v>
      </c>
      <c r="B52" s="102" t="e">
        <f t="shared" si="2"/>
        <v>#DIV/0!</v>
      </c>
      <c r="C52" s="122"/>
      <c r="D52" s="102" t="e">
        <f t="shared" si="4"/>
        <v>#DIV/0!</v>
      </c>
      <c r="E52" s="102"/>
      <c r="F52" s="102" t="e">
        <f t="shared" si="3"/>
        <v>#DIV/0!</v>
      </c>
      <c r="G52" s="122"/>
      <c r="K52" s="105" t="e">
        <f t="shared" si="0"/>
        <v>#DIV/0!</v>
      </c>
      <c r="L52" s="105">
        <f t="shared" si="1"/>
        <v>1</v>
      </c>
    </row>
    <row r="53" spans="1:12" ht="12.75">
      <c r="A53">
        <v>20</v>
      </c>
      <c r="B53" s="102" t="e">
        <f t="shared" si="2"/>
        <v>#DIV/0!</v>
      </c>
      <c r="C53" s="122"/>
      <c r="D53" s="102" t="e">
        <f t="shared" si="4"/>
        <v>#DIV/0!</v>
      </c>
      <c r="E53" s="102"/>
      <c r="F53" s="102" t="e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#DIV/0!</v>
      </c>
      <c r="G53" s="122"/>
      <c r="K53" s="105" t="e">
        <f t="shared" si="0"/>
        <v>#DIV/0!</v>
      </c>
      <c r="L53" s="105">
        <f t="shared" si="1"/>
        <v>1</v>
      </c>
    </row>
    <row r="54" spans="1:12" ht="12.75">
      <c r="A54">
        <v>21</v>
      </c>
      <c r="B54" s="102" t="e">
        <f t="shared" si="2"/>
        <v>#DIV/0!</v>
      </c>
      <c r="C54" s="122"/>
      <c r="D54" s="102" t="e">
        <f t="shared" si="4"/>
        <v>#DIV/0!</v>
      </c>
      <c r="E54" s="102"/>
      <c r="F54" s="102" t="e">
        <f t="shared" si="3"/>
        <v>#DIV/0!</v>
      </c>
      <c r="G54" s="122"/>
      <c r="K54" s="105" t="e">
        <f t="shared" si="0"/>
        <v>#DIV/0!</v>
      </c>
      <c r="L54" s="105">
        <f t="shared" si="1"/>
        <v>1</v>
      </c>
    </row>
    <row r="55" spans="1:12" ht="12.75">
      <c r="A55">
        <v>22</v>
      </c>
      <c r="B55" s="102" t="e">
        <f t="shared" si="2"/>
        <v>#DIV/0!</v>
      </c>
      <c r="C55" s="122"/>
      <c r="D55" s="102" t="e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#DIV/0!</v>
      </c>
      <c r="E55" s="122"/>
      <c r="F55" s="102" t="e">
        <f t="shared" si="3"/>
        <v>#DIV/0!</v>
      </c>
      <c r="G55" s="122"/>
      <c r="K55" s="105" t="e">
        <f t="shared" si="0"/>
        <v>#DIV/0!</v>
      </c>
      <c r="L55" s="105">
        <f t="shared" si="1"/>
        <v>1</v>
      </c>
    </row>
    <row r="56" spans="1:12" ht="12.75">
      <c r="A56">
        <v>23</v>
      </c>
      <c r="B56" s="102" t="e">
        <f t="shared" si="2"/>
        <v>#DIV/0!</v>
      </c>
      <c r="C56" s="122"/>
      <c r="D56" s="102" t="e">
        <f t="shared" si="4"/>
        <v>#DIV/0!</v>
      </c>
      <c r="E56" s="122"/>
      <c r="F56" s="102" t="e">
        <f t="shared" si="3"/>
        <v>#DIV/0!</v>
      </c>
      <c r="G56" s="122"/>
      <c r="K56" s="105" t="e">
        <f t="shared" si="0"/>
        <v>#DIV/0!</v>
      </c>
      <c r="L56" s="105">
        <f t="shared" si="1"/>
        <v>1</v>
      </c>
    </row>
    <row r="57" spans="1:12" ht="12.75">
      <c r="A57">
        <v>24</v>
      </c>
      <c r="B57" s="102" t="e">
        <f t="shared" si="2"/>
        <v>#DIV/0!</v>
      </c>
      <c r="C57" s="122"/>
      <c r="D57" s="102" t="e">
        <f t="shared" si="4"/>
        <v>#DIV/0!</v>
      </c>
      <c r="E57" s="122"/>
      <c r="F57" s="102" t="e">
        <f t="shared" si="3"/>
        <v>#DIV/0!</v>
      </c>
      <c r="G57" s="122"/>
      <c r="K57" s="105" t="e">
        <f t="shared" si="0"/>
        <v>#DIV/0!</v>
      </c>
      <c r="L57" s="105">
        <f t="shared" si="1"/>
        <v>1</v>
      </c>
    </row>
    <row r="58" spans="1:12" ht="12.75">
      <c r="A58">
        <v>25</v>
      </c>
      <c r="B58" s="102" t="e">
        <f t="shared" si="2"/>
        <v>#DIV/0!</v>
      </c>
      <c r="C58" s="122"/>
      <c r="D58" s="102" t="e">
        <f t="shared" si="4"/>
        <v>#DIV/0!</v>
      </c>
      <c r="E58" s="122"/>
      <c r="F58" s="102" t="e">
        <f t="shared" si="3"/>
        <v>#DIV/0!</v>
      </c>
      <c r="G58" s="122"/>
      <c r="K58" s="105" t="e">
        <f t="shared" si="0"/>
        <v>#DIV/0!</v>
      </c>
      <c r="L58" s="105">
        <f t="shared" si="1"/>
        <v>1</v>
      </c>
    </row>
    <row r="59" spans="1:12" ht="12.75">
      <c r="A59">
        <v>26</v>
      </c>
      <c r="B59" s="102" t="e">
        <f t="shared" si="2"/>
        <v>#DIV/0!</v>
      </c>
      <c r="C59" s="122"/>
      <c r="D59" s="102" t="e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#DIV/0!</v>
      </c>
      <c r="E59" s="122"/>
      <c r="F59" s="102" t="e">
        <f t="shared" si="3"/>
        <v>#DIV/0!</v>
      </c>
      <c r="G59" s="122"/>
      <c r="K59" s="105" t="e">
        <f t="shared" si="0"/>
        <v>#DIV/0!</v>
      </c>
      <c r="L59" s="105">
        <f t="shared" si="1"/>
        <v>1</v>
      </c>
    </row>
    <row r="60" spans="1:12" ht="12.75">
      <c r="A60">
        <v>27</v>
      </c>
      <c r="B60" s="102" t="e">
        <f t="shared" si="2"/>
        <v>#DIV/0!</v>
      </c>
      <c r="C60" s="122"/>
      <c r="D60" s="102" t="e">
        <f t="shared" si="4"/>
        <v>#DIV/0!</v>
      </c>
      <c r="E60" s="122"/>
      <c r="F60" s="102" t="e">
        <f t="shared" si="3"/>
        <v>#DIV/0!</v>
      </c>
      <c r="G60" s="122"/>
      <c r="K60" s="105" t="e">
        <f t="shared" si="0"/>
        <v>#DIV/0!</v>
      </c>
      <c r="L60" s="105">
        <f t="shared" si="1"/>
        <v>1</v>
      </c>
    </row>
    <row r="61" spans="1:12" ht="12.75">
      <c r="A61">
        <v>28</v>
      </c>
      <c r="B61" s="102" t="e">
        <f t="shared" si="2"/>
        <v>#DIV/0!</v>
      </c>
      <c r="C61" s="122"/>
      <c r="D61" s="102" t="e">
        <f t="shared" si="4"/>
        <v>#DIV/0!</v>
      </c>
      <c r="E61" s="122"/>
      <c r="F61" s="102" t="e">
        <f t="shared" si="3"/>
        <v>#DIV/0!</v>
      </c>
      <c r="G61" s="122"/>
      <c r="K61" s="105" t="e">
        <f t="shared" si="0"/>
        <v>#DIV/0!</v>
      </c>
      <c r="L61" s="105">
        <f t="shared" si="1"/>
        <v>1</v>
      </c>
    </row>
    <row r="62" spans="1:12" ht="12.75">
      <c r="A62">
        <v>29</v>
      </c>
      <c r="B62" s="102" t="e">
        <f t="shared" si="2"/>
        <v>#DIV/0!</v>
      </c>
      <c r="C62" s="122"/>
      <c r="D62" s="102" t="e">
        <f t="shared" si="4"/>
        <v>#DIV/0!</v>
      </c>
      <c r="E62" s="122"/>
      <c r="F62" s="102" t="e">
        <f t="shared" si="3"/>
        <v>#DIV/0!</v>
      </c>
      <c r="G62" s="122"/>
      <c r="J62">
        <v>0</v>
      </c>
      <c r="K62" s="105" t="e">
        <f t="shared" si="0"/>
        <v>#DIV/0!</v>
      </c>
      <c r="L62" s="105">
        <f t="shared" si="1"/>
        <v>1</v>
      </c>
    </row>
    <row r="63" spans="1:12" ht="12.75">
      <c r="A63">
        <v>30</v>
      </c>
      <c r="B63" s="102" t="e">
        <f t="shared" si="2"/>
        <v>#DIV/0!</v>
      </c>
      <c r="C63" s="122"/>
      <c r="D63" s="102" t="e">
        <f t="shared" si="4"/>
        <v>#DIV/0!</v>
      </c>
      <c r="E63" s="122"/>
      <c r="F63" s="102" t="e">
        <f t="shared" si="3"/>
        <v>#DIV/0!</v>
      </c>
      <c r="G63" s="122"/>
      <c r="J63">
        <v>0</v>
      </c>
      <c r="K63" s="105" t="e">
        <f t="shared" si="0"/>
        <v>#DIV/0!</v>
      </c>
      <c r="L63" s="105">
        <f t="shared" si="1"/>
        <v>1</v>
      </c>
    </row>
    <row r="64" spans="1:12" ht="12.75">
      <c r="A64">
        <v>31</v>
      </c>
      <c r="B64" s="102" t="e">
        <f t="shared" si="2"/>
        <v>#DIV/0!</v>
      </c>
      <c r="C64" s="122"/>
      <c r="D64" s="102" t="e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#DIV/0!</v>
      </c>
      <c r="E64" s="122"/>
      <c r="F64" s="102" t="e">
        <f t="shared" si="3"/>
        <v>#DIV/0!</v>
      </c>
      <c r="G64" s="122"/>
      <c r="J64">
        <v>0</v>
      </c>
      <c r="K64" s="105" t="e">
        <f t="shared" si="0"/>
        <v>#DIV/0!</v>
      </c>
      <c r="L64" s="105">
        <f t="shared" si="1"/>
        <v>1</v>
      </c>
    </row>
    <row r="65" spans="1:12" ht="12.75">
      <c r="A65">
        <v>32</v>
      </c>
      <c r="B65" s="102" t="e">
        <f t="shared" si="2"/>
        <v>#DIV/0!</v>
      </c>
      <c r="C65" s="122"/>
      <c r="D65" s="102" t="e">
        <f t="shared" si="4"/>
        <v>#DIV/0!</v>
      </c>
      <c r="E65" s="122"/>
      <c r="F65" s="102" t="e">
        <f t="shared" si="3"/>
        <v>#DIV/0!</v>
      </c>
      <c r="G65" s="122"/>
      <c r="K65" s="105" t="e">
        <f t="shared" si="0"/>
        <v>#DIV/0!</v>
      </c>
      <c r="L65" s="105">
        <f t="shared" si="1"/>
        <v>1</v>
      </c>
    </row>
    <row r="66" spans="1:12" ht="12.75">
      <c r="A66">
        <v>33</v>
      </c>
      <c r="B66" s="102" t="e">
        <f t="shared" si="2"/>
        <v>#DIV/0!</v>
      </c>
      <c r="C66" s="122"/>
      <c r="D66" s="102" t="e">
        <f t="shared" si="4"/>
        <v>#DIV/0!</v>
      </c>
      <c r="E66" s="122"/>
      <c r="F66" s="102" t="e">
        <f t="shared" si="3"/>
        <v>#DIV/0!</v>
      </c>
      <c r="G66" s="122"/>
      <c r="K66" s="105" t="e">
        <f aca="true" t="shared" si="5" ref="K66:K83">($B$7^A66-1)/(($B$7-1)*$B$7^A66)</f>
        <v>#DIV/0!</v>
      </c>
      <c r="L66" s="105">
        <f aca="true" t="shared" si="6" ref="L66:L82">1/$B$7^A66</f>
        <v>1</v>
      </c>
    </row>
    <row r="67" spans="1:12" ht="12.75">
      <c r="A67">
        <v>34</v>
      </c>
      <c r="B67" s="102" t="e">
        <f t="shared" si="2"/>
        <v>#DIV/0!</v>
      </c>
      <c r="C67" s="122"/>
      <c r="D67" s="102" t="e">
        <f t="shared" si="4"/>
        <v>#DIV/0!</v>
      </c>
      <c r="E67" s="122"/>
      <c r="F67" s="102" t="e">
        <f t="shared" si="3"/>
        <v>#DIV/0!</v>
      </c>
      <c r="G67" s="122"/>
      <c r="K67" s="105" t="e">
        <f t="shared" si="5"/>
        <v>#DIV/0!</v>
      </c>
      <c r="L67" s="105">
        <f t="shared" si="6"/>
        <v>1</v>
      </c>
    </row>
    <row r="68" spans="1:12" ht="12.75">
      <c r="A68">
        <v>35</v>
      </c>
      <c r="B68" s="102" t="e">
        <f t="shared" si="2"/>
        <v>#DIV/0!</v>
      </c>
      <c r="C68" s="122"/>
      <c r="D68" s="102" t="e">
        <f t="shared" si="4"/>
        <v>#DIV/0!</v>
      </c>
      <c r="E68" s="122"/>
      <c r="F68" s="102" t="e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#DIV/0!</v>
      </c>
      <c r="G68" s="122"/>
      <c r="K68" s="105" t="e">
        <f t="shared" si="5"/>
        <v>#DIV/0!</v>
      </c>
      <c r="L68" s="105">
        <f t="shared" si="6"/>
        <v>1</v>
      </c>
    </row>
    <row r="69" spans="1:12" ht="12.75">
      <c r="A69">
        <v>36</v>
      </c>
      <c r="B69" s="102" t="e">
        <f t="shared" si="2"/>
        <v>#DIV/0!</v>
      </c>
      <c r="C69" s="122"/>
      <c r="D69" s="102" t="e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#DIV/0!</v>
      </c>
      <c r="E69" s="122"/>
      <c r="F69" s="102" t="e">
        <f t="shared" si="3"/>
        <v>#DIV/0!</v>
      </c>
      <c r="G69" s="122"/>
      <c r="K69" s="105" t="e">
        <f t="shared" si="5"/>
        <v>#DIV/0!</v>
      </c>
      <c r="L69" s="105">
        <f t="shared" si="6"/>
        <v>1</v>
      </c>
    </row>
    <row r="70" spans="1:13" ht="12.75">
      <c r="A70">
        <v>37</v>
      </c>
      <c r="B70" s="102" t="e">
        <f t="shared" si="2"/>
        <v>#DIV/0!</v>
      </c>
      <c r="C70" s="122"/>
      <c r="D70" s="102" t="e">
        <f t="shared" si="4"/>
        <v>#DIV/0!</v>
      </c>
      <c r="E70" s="122"/>
      <c r="F70" s="102" t="e">
        <f t="shared" si="3"/>
        <v>#DIV/0!</v>
      </c>
      <c r="G70" s="122"/>
      <c r="K70" s="105" t="e">
        <f t="shared" si="5"/>
        <v>#DIV/0!</v>
      </c>
      <c r="L70" s="105">
        <f t="shared" si="6"/>
        <v>1</v>
      </c>
      <c r="M70" s="105">
        <f>(L70+L71)/2</f>
        <v>1</v>
      </c>
    </row>
    <row r="71" spans="1:13" ht="12.75">
      <c r="A71">
        <v>38</v>
      </c>
      <c r="B71" s="102" t="e">
        <f t="shared" si="2"/>
        <v>#DIV/0!</v>
      </c>
      <c r="C71" s="122"/>
      <c r="D71" s="102" t="e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#DIV/0!</v>
      </c>
      <c r="E71" s="122"/>
      <c r="F71" s="102" t="e">
        <f t="shared" si="3"/>
        <v>#DIV/0!</v>
      </c>
      <c r="G71" s="122"/>
      <c r="K71" s="105" t="e">
        <f t="shared" si="5"/>
        <v>#DIV/0!</v>
      </c>
      <c r="L71" s="105">
        <f t="shared" si="6"/>
        <v>1</v>
      </c>
      <c r="M71" s="105"/>
    </row>
    <row r="72" spans="1:12" ht="12.75">
      <c r="A72">
        <v>39</v>
      </c>
      <c r="B72" s="102" t="e">
        <f t="shared" si="2"/>
        <v>#DIV/0!</v>
      </c>
      <c r="C72" s="122"/>
      <c r="D72" s="102" t="e">
        <f t="shared" si="4"/>
        <v>#DIV/0!</v>
      </c>
      <c r="E72" s="122"/>
      <c r="F72" s="102" t="e">
        <f t="shared" si="3"/>
        <v>#DIV/0!</v>
      </c>
      <c r="G72" s="122"/>
      <c r="K72" s="105" t="e">
        <f t="shared" si="5"/>
        <v>#DIV/0!</v>
      </c>
      <c r="L72" s="105">
        <f t="shared" si="6"/>
        <v>1</v>
      </c>
    </row>
    <row r="73" spans="1:12" ht="12.75">
      <c r="A73">
        <v>40</v>
      </c>
      <c r="B73" s="102" t="e">
        <f t="shared" si="2"/>
        <v>#DIV/0!</v>
      </c>
      <c r="C73" s="122"/>
      <c r="D73" s="102" t="e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#DIV/0!</v>
      </c>
      <c r="E73" s="122"/>
      <c r="F73" s="102" t="e">
        <f t="shared" si="3"/>
        <v>#DIV/0!</v>
      </c>
      <c r="G73" s="122"/>
      <c r="K73" s="105" t="e">
        <f t="shared" si="5"/>
        <v>#DIV/0!</v>
      </c>
      <c r="L73" s="105">
        <f t="shared" si="6"/>
        <v>1</v>
      </c>
    </row>
    <row r="74" spans="1:12" ht="12.75">
      <c r="A74">
        <v>41</v>
      </c>
      <c r="B74" s="102" t="e">
        <f t="shared" si="2"/>
        <v>#DIV/0!</v>
      </c>
      <c r="C74" s="122"/>
      <c r="D74" s="102" t="e">
        <f t="shared" si="4"/>
        <v>#DIV/0!</v>
      </c>
      <c r="E74" s="122"/>
      <c r="F74" s="102" t="e">
        <f t="shared" si="3"/>
        <v>#DIV/0!</v>
      </c>
      <c r="G74" s="122"/>
      <c r="K74" s="105" t="e">
        <f t="shared" si="5"/>
        <v>#DIV/0!</v>
      </c>
      <c r="L74" s="105">
        <f t="shared" si="6"/>
        <v>1</v>
      </c>
    </row>
    <row r="75" spans="1:12" ht="12.75">
      <c r="A75">
        <v>42</v>
      </c>
      <c r="B75" s="102" t="e">
        <f t="shared" si="2"/>
        <v>#DIV/0!</v>
      </c>
      <c r="C75" s="122"/>
      <c r="D75" s="102" t="e">
        <f t="shared" si="4"/>
        <v>#DIV/0!</v>
      </c>
      <c r="E75" s="122"/>
      <c r="F75" s="102" t="e">
        <f t="shared" si="3"/>
        <v>#DIV/0!</v>
      </c>
      <c r="G75" s="122"/>
      <c r="K75" s="105" t="e">
        <f t="shared" si="5"/>
        <v>#DIV/0!</v>
      </c>
      <c r="L75" s="105">
        <f t="shared" si="6"/>
        <v>1</v>
      </c>
    </row>
    <row r="76" spans="1:12" ht="12.75">
      <c r="A76">
        <v>43</v>
      </c>
      <c r="B76" s="102" t="e">
        <f t="shared" si="2"/>
        <v>#DIV/0!</v>
      </c>
      <c r="C76" s="122"/>
      <c r="D76" s="102" t="e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#DIV/0!</v>
      </c>
      <c r="E76" s="122"/>
      <c r="F76" s="102" t="e">
        <f t="shared" si="3"/>
        <v>#DIV/0!</v>
      </c>
      <c r="G76" s="122"/>
      <c r="K76" s="105" t="e">
        <f t="shared" si="5"/>
        <v>#DIV/0!</v>
      </c>
      <c r="L76" s="105">
        <f t="shared" si="6"/>
        <v>1</v>
      </c>
    </row>
    <row r="77" spans="1:12" ht="12.75">
      <c r="A77">
        <v>44</v>
      </c>
      <c r="B77" s="102" t="e">
        <f t="shared" si="2"/>
        <v>#DIV/0!</v>
      </c>
      <c r="C77" s="122"/>
      <c r="D77" s="102" t="e">
        <f t="shared" si="4"/>
        <v>#DIV/0!</v>
      </c>
      <c r="E77" s="122"/>
      <c r="F77" s="102" t="e">
        <f t="shared" si="3"/>
        <v>#DIV/0!</v>
      </c>
      <c r="G77" s="122"/>
      <c r="K77" s="105" t="e">
        <f t="shared" si="5"/>
        <v>#DIV/0!</v>
      </c>
      <c r="L77" s="105">
        <f t="shared" si="6"/>
        <v>1</v>
      </c>
    </row>
    <row r="78" spans="1:12" ht="12.75">
      <c r="A78">
        <v>45</v>
      </c>
      <c r="B78" s="102" t="e">
        <f t="shared" si="2"/>
        <v>#DIV/0!</v>
      </c>
      <c r="C78" s="122"/>
      <c r="D78" s="102" t="e">
        <f t="shared" si="4"/>
        <v>#DIV/0!</v>
      </c>
      <c r="E78" s="122"/>
      <c r="F78" s="102" t="e">
        <f t="shared" si="3"/>
        <v>#DIV/0!</v>
      </c>
      <c r="G78" s="122"/>
      <c r="K78" s="105" t="e">
        <f t="shared" si="5"/>
        <v>#DIV/0!</v>
      </c>
      <c r="L78" s="105">
        <f t="shared" si="6"/>
        <v>1</v>
      </c>
    </row>
    <row r="79" spans="1:12" ht="12.75">
      <c r="A79">
        <v>46</v>
      </c>
      <c r="B79" s="102" t="e">
        <f t="shared" si="2"/>
        <v>#DIV/0!</v>
      </c>
      <c r="C79" s="122"/>
      <c r="D79" s="102" t="e">
        <f t="shared" si="4"/>
        <v>#DIV/0!</v>
      </c>
      <c r="E79" s="122"/>
      <c r="F79" s="102" t="e">
        <f t="shared" si="3"/>
        <v>#DIV/0!</v>
      </c>
      <c r="G79" s="122"/>
      <c r="K79" s="105" t="e">
        <f t="shared" si="5"/>
        <v>#DIV/0!</v>
      </c>
      <c r="L79" s="105">
        <f t="shared" si="6"/>
        <v>1</v>
      </c>
    </row>
    <row r="80" spans="1:12" ht="12.75">
      <c r="A80">
        <v>47</v>
      </c>
      <c r="B80" s="102" t="e">
        <f t="shared" si="2"/>
        <v>#DIV/0!</v>
      </c>
      <c r="C80" s="122"/>
      <c r="D80" s="102" t="e">
        <f t="shared" si="4"/>
        <v>#DIV/0!</v>
      </c>
      <c r="E80" s="122"/>
      <c r="F80" s="102" t="e">
        <f t="shared" si="3"/>
        <v>#DIV/0!</v>
      </c>
      <c r="G80" s="122"/>
      <c r="K80" s="105" t="e">
        <f t="shared" si="5"/>
        <v>#DIV/0!</v>
      </c>
      <c r="L80" s="105">
        <f t="shared" si="6"/>
        <v>1</v>
      </c>
    </row>
    <row r="81" spans="1:12" ht="12.75">
      <c r="A81">
        <v>48</v>
      </c>
      <c r="B81" s="102" t="e">
        <f t="shared" si="2"/>
        <v>#DIV/0!</v>
      </c>
      <c r="C81" s="122"/>
      <c r="D81" s="102" t="e">
        <f t="shared" si="4"/>
        <v>#DIV/0!</v>
      </c>
      <c r="E81" s="122"/>
      <c r="F81" s="102" t="e">
        <f t="shared" si="3"/>
        <v>#DIV/0!</v>
      </c>
      <c r="G81" s="122"/>
      <c r="K81" s="105" t="e">
        <f t="shared" si="5"/>
        <v>#DIV/0!</v>
      </c>
      <c r="L81" s="105">
        <f t="shared" si="6"/>
        <v>1</v>
      </c>
    </row>
    <row r="82" spans="1:12" ht="12.75">
      <c r="A82">
        <v>49</v>
      </c>
      <c r="B82" s="102" t="e">
        <f t="shared" si="2"/>
        <v>#DIV/0!</v>
      </c>
      <c r="C82" s="122"/>
      <c r="D82" s="102" t="e">
        <f t="shared" si="4"/>
        <v>#DIV/0!</v>
      </c>
      <c r="E82" s="122"/>
      <c r="F82" s="102" t="e">
        <f t="shared" si="3"/>
        <v>#DIV/0!</v>
      </c>
      <c r="G82" s="122"/>
      <c r="K82" s="105" t="e">
        <f t="shared" si="5"/>
        <v>#DIV/0!</v>
      </c>
      <c r="L82" s="105">
        <f t="shared" si="6"/>
        <v>1</v>
      </c>
    </row>
    <row r="83" spans="1:13" ht="12.75">
      <c r="A83">
        <v>50</v>
      </c>
      <c r="B83" s="102" t="e">
        <f t="shared" si="2"/>
        <v>#DIV/0!</v>
      </c>
      <c r="C83" s="122"/>
      <c r="D83" s="102" t="e">
        <f t="shared" si="4"/>
        <v>#DIV/0!</v>
      </c>
      <c r="E83" s="122"/>
      <c r="F83" s="102" t="e">
        <f t="shared" si="3"/>
        <v>#DIV/0!</v>
      </c>
      <c r="G83" s="122"/>
      <c r="K83" s="105" t="e">
        <f t="shared" si="5"/>
        <v>#DIV/0!</v>
      </c>
      <c r="L83" s="105">
        <v>0</v>
      </c>
      <c r="M83" s="102" t="e">
        <f>G27+SUM(G29:G31)*K83+G27*M45+G27*L58+G27*M70+G27*L83</f>
        <v>#DIV/0!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0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3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149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149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149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149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 t="e">
        <f>B42*B22/100*B65/1000</f>
        <v>#DIV/0!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 t="e">
        <f>B67*B66</f>
        <v>#DIV/0!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 t="e">
        <f>B68*B69/100</f>
        <v>#DIV/0!</v>
      </c>
      <c r="C70" s="66" t="s">
        <v>1</v>
      </c>
      <c r="D70" s="109"/>
      <c r="E70" s="109"/>
    </row>
    <row r="71" spans="1:5" ht="15.75">
      <c r="A71" s="4" t="s">
        <v>44</v>
      </c>
      <c r="B71" s="58" t="e">
        <f>B70*365/B3</f>
        <v>#DIV/0!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 t="e">
        <f>SUM(B71:B74)</f>
        <v>#DIV/0!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 t="e">
        <f>B80+B81</f>
        <v>#DIV/0!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 t="e">
        <f>(B106+B107)/2</f>
        <v>#DIV/0!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0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 t="e">
        <f>B83+B84+B85</f>
        <v>#DIV/0!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 t="e">
        <f>B92</f>
        <v>#DIV/0!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 t="e">
        <f>B43*B90</f>
        <v>#DIV/0!</v>
      </c>
      <c r="C91" s="7" t="s">
        <v>1</v>
      </c>
      <c r="D91" s="82"/>
      <c r="E91" s="82"/>
    </row>
    <row r="92" spans="1:5" ht="15.75">
      <c r="A92" s="116" t="s">
        <v>139</v>
      </c>
      <c r="B92" s="118" t="e">
        <f>B91*365/B3</f>
        <v>#DIV/0!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 t="e">
        <f>((B80+B81)/365*B3)/(B8*B7*10^3/10^6)</f>
        <v>#DIV/0!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0.56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 t="e">
        <f>$B$99*$B$9*$B$3*$B$4/10^6</f>
        <v>#DIV/0!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 t="e">
        <f>B100/(B8*B7*10^3/10^6)</f>
        <v>#DIV/0!</v>
      </c>
      <c r="C101" s="15" t="s">
        <v>12</v>
      </c>
      <c r="D101" s="50"/>
      <c r="E101" s="29"/>
    </row>
    <row r="102" spans="1:5" ht="12.75">
      <c r="A102" s="3" t="s">
        <v>25</v>
      </c>
      <c r="B102" s="69" t="e">
        <f>(B10*B7*10^3/10^6)-(B15*B7*10^3/10^6)-(B46*B24)</f>
        <v>#DIV/0!</v>
      </c>
      <c r="C102" s="15" t="s">
        <v>6</v>
      </c>
      <c r="D102" s="50"/>
      <c r="E102" s="29"/>
    </row>
    <row r="103" spans="1:5" ht="12.75">
      <c r="A103" s="3" t="s">
        <v>26</v>
      </c>
      <c r="B103" s="73" t="e">
        <f>B100+B102*1.7+B17*B7*10^3/10^6*4.56</f>
        <v>#DIV/0!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 t="e">
        <f>B103/B108</f>
        <v>#DIV/0!</v>
      </c>
      <c r="C104" s="15" t="s">
        <v>1</v>
      </c>
      <c r="D104" s="80"/>
      <c r="E104" s="30"/>
    </row>
    <row r="105" spans="1:5" ht="12.75">
      <c r="A105" s="3" t="s">
        <v>17</v>
      </c>
      <c r="B105" s="69" t="e">
        <f>B103/B109</f>
        <v>#DIV/0!</v>
      </c>
      <c r="C105" s="15" t="s">
        <v>1</v>
      </c>
      <c r="D105" s="80"/>
      <c r="E105" s="29"/>
    </row>
    <row r="106" spans="1:6" ht="15.75">
      <c r="A106" s="3" t="s">
        <v>18</v>
      </c>
      <c r="B106" s="69" t="e">
        <f>B103*365/(B108*B3)</f>
        <v>#DIV/0!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 t="e">
        <f>B103*365/(B109*B3)</f>
        <v>#DIV/0!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 t="e">
        <f>B35*B124</f>
        <v>#DIV/0!</v>
      </c>
      <c r="C112" s="152" t="s">
        <v>229</v>
      </c>
      <c r="D112" s="50"/>
    </row>
    <row r="113" spans="1:4" ht="12.75">
      <c r="A113" s="3" t="s">
        <v>227</v>
      </c>
      <c r="B113" s="153" t="e">
        <f>B112/B114</f>
        <v>#DIV/0!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0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 t="e">
        <f>B115*B113</f>
        <v>#DIV/0!</v>
      </c>
      <c r="C116" s="152" t="s">
        <v>232</v>
      </c>
      <c r="D116" s="50"/>
    </row>
    <row r="117" spans="1:4" ht="12.75">
      <c r="A117" s="3" t="s">
        <v>235</v>
      </c>
      <c r="B117" s="153" t="e">
        <f>B113*(1-B115)</f>
        <v>#DIV/0!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 t="e">
        <f>$B$124/($B$21/100)/1000</f>
        <v>#DIV/0!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 t="e">
        <f>$B$9*$B$4*'Dateneingabe und Ergebnisse'!$F$5/10^6*$B$26</f>
        <v>#DIV/0!</v>
      </c>
      <c r="C124" s="66" t="s">
        <v>60</v>
      </c>
      <c r="E124"/>
    </row>
    <row r="125" spans="1:7" ht="12.75">
      <c r="A125" s="3" t="s">
        <v>84</v>
      </c>
      <c r="B125" s="67" t="e">
        <f>$E$13*'Dateneingabe und Ergebnisse'!$F$5/($B$9*$B$4*'Dateneingabe und Ergebnisse'!$F$5/10^6)</f>
        <v>#DIV/0!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 t="e">
        <f>0.6*($B$25+1)-(0.072*0.6*(1.072^($B$6-15)))/(1/$B$35+0.08*(1.072^(10-15)))</f>
        <v>#DIV/0!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10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63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63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63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63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0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0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0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0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0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0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0</v>
      </c>
      <c r="C73" s="66" t="s">
        <v>2</v>
      </c>
      <c r="D73" s="109"/>
      <c r="E73" s="109"/>
    </row>
    <row r="74" spans="1:5" ht="15.75">
      <c r="A74" s="4" t="s">
        <v>44</v>
      </c>
      <c r="B74" s="142" t="e">
        <f>B71*365/B3</f>
        <v>#DIV/0!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 t="e">
        <f>SUM(B74:B77)</f>
        <v>#DIV/0!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 t="e">
        <f>B83+B84</f>
        <v>#DIV/0!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 t="e">
        <f>(B116+B117)/2</f>
        <v>#DIV/0!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0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 t="e">
        <f>B86+B87+B88</f>
        <v>#DIV/0!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 t="e">
        <f>B102</f>
        <v>#DIV/0!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0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 t="e">
        <f>B43*B93</f>
        <v>#DIV/0!</v>
      </c>
      <c r="C94" s="7" t="s">
        <v>1</v>
      </c>
      <c r="D94" s="82"/>
      <c r="E94" s="82"/>
    </row>
    <row r="95" spans="1:5" ht="15.75">
      <c r="A95" s="116" t="s">
        <v>139</v>
      </c>
      <c r="B95" s="118" t="e">
        <f>B94*365/B3</f>
        <v>#DIV/0!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 t="e">
        <f>('Dateneingabe und Ergebnisse'!I19*'Dateneingabe und Ergebnisse'!I21/100)/B98*1000</f>
        <v>#DIV/0!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 t="e">
        <f>B100*B99/24</f>
        <v>#DIV/0!</v>
      </c>
      <c r="C101" s="7" t="s">
        <v>204</v>
      </c>
      <c r="E101"/>
    </row>
    <row r="102" spans="1:5" ht="12.75">
      <c r="A102" s="136" t="s">
        <v>143</v>
      </c>
      <c r="B102" s="138" t="e">
        <f>B101*24*365/'Variante A'!B3</f>
        <v>#DIV/0!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 t="e">
        <f>((B83+B84)/365*B3)/(B8*B7*10^3/10^6)</f>
        <v>#DIV/0!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 t="e">
        <f>$B$109*$B$9*$B$3*$B$4/10^6</f>
        <v>#DIV/0!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 t="e">
        <f>B110/(B8*B7*10^3/10^6)</f>
        <v>#DIV/0!</v>
      </c>
      <c r="C111" s="15" t="s">
        <v>12</v>
      </c>
      <c r="D111" s="50"/>
      <c r="E111" s="29"/>
    </row>
    <row r="112" spans="1:6" ht="12.75">
      <c r="A112" s="3" t="s">
        <v>25</v>
      </c>
      <c r="B112" s="69" t="e">
        <f>(B10*B7*10^3/10^6)-(B15*B7*10^3/10^6)-(B46*B24)</f>
        <v>#DIV/0!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 t="e">
        <f>B110+B112*1.7+B17*B7*10^3/10^6*4.56</f>
        <v>#DIV/0!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 t="e">
        <f>B113/B118</f>
        <v>#DIV/0!</v>
      </c>
      <c r="C114" s="15" t="s">
        <v>1</v>
      </c>
      <c r="D114" s="80"/>
      <c r="E114" s="30"/>
    </row>
    <row r="115" spans="1:5" ht="12.75">
      <c r="A115" s="3" t="s">
        <v>17</v>
      </c>
      <c r="B115" s="69" t="e">
        <f>B113/B119</f>
        <v>#DIV/0!</v>
      </c>
      <c r="C115" s="15" t="s">
        <v>1</v>
      </c>
      <c r="D115" s="80"/>
      <c r="E115" s="29"/>
    </row>
    <row r="116" spans="1:6" ht="15.75">
      <c r="A116" s="3" t="s">
        <v>18</v>
      </c>
      <c r="B116" s="69" t="e">
        <f>B113*365/(B118*B3)</f>
        <v>#DIV/0!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 t="e">
        <f>B113*365/(B119*B3)</f>
        <v>#DIV/0!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 t="e">
        <f>B35*B134</f>
        <v>#DIV/0!</v>
      </c>
      <c r="C122" s="152" t="s">
        <v>229</v>
      </c>
      <c r="D122" s="50"/>
    </row>
    <row r="123" spans="1:4" ht="12.75">
      <c r="A123" s="3" t="s">
        <v>227</v>
      </c>
      <c r="B123" s="153" t="e">
        <f>B122/B124</f>
        <v>#DIV/0!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0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 t="e">
        <f>B125*B123</f>
        <v>#DIV/0!</v>
      </c>
      <c r="C126" s="152" t="s">
        <v>232</v>
      </c>
      <c r="D126" s="50"/>
    </row>
    <row r="127" spans="1:4" ht="12.75">
      <c r="A127" s="3" t="s">
        <v>235</v>
      </c>
      <c r="B127" s="153" t="e">
        <f>B123*(1-B125)</f>
        <v>#DIV/0!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 t="e">
        <f>$B$24/($B$21/100)/1000</f>
        <v>#DIV/0!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 t="e">
        <f>$B$9*$B$4*'Dateneingabe und Ergebnisse'!$F$5/10^6*$B$26</f>
        <v>#DIV/0!</v>
      </c>
      <c r="C134" s="66" t="s">
        <v>60</v>
      </c>
      <c r="E134"/>
    </row>
    <row r="135" spans="1:7" ht="12.75">
      <c r="A135" s="3" t="s">
        <v>84</v>
      </c>
      <c r="B135" s="67" t="e">
        <f>$E$13*'Dateneingabe und Ergebnisse'!$F$5/($B$9*$B$4*'Dateneingabe und Ergebnisse'!$F$5/10^6)</f>
        <v>#DIV/0!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 t="e">
        <f>0.6*($B$25+1)-(0.072*0.6*(1.072^($B$6-15)))/(1/$B$35+0.08*(1.072^(10-15)))</f>
        <v>#DIV/0!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0</v>
      </c>
      <c r="C2" s="22"/>
      <c r="F2" s="22"/>
      <c r="G2" s="22"/>
    </row>
    <row r="3" spans="1:7" ht="15" customHeight="1">
      <c r="A3" t="s">
        <v>211</v>
      </c>
      <c r="B3" s="106">
        <f>'Variante A'!B5</f>
        <v>0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0</v>
      </c>
      <c r="G7" s="101"/>
      <c r="I7" s="124" t="s">
        <v>148</v>
      </c>
      <c r="J7" s="102">
        <f>'Variante F 1-2'!B71*365</f>
        <v>0</v>
      </c>
      <c r="K7" s="101"/>
    </row>
    <row r="8" spans="5:11" ht="12.75">
      <c r="E8" s="124" t="s">
        <v>149</v>
      </c>
      <c r="F8" s="102">
        <f>'Variante F 1-2'!B72*365*('Variante F 1-2'!B73/100)</f>
        <v>0</v>
      </c>
      <c r="G8" s="101"/>
      <c r="I8" s="124" t="s">
        <v>149</v>
      </c>
      <c r="J8" s="102">
        <f>'Variante F 1-2'!B72*365*'Variante F 1-2'!B73/100</f>
        <v>0</v>
      </c>
      <c r="K8" s="101"/>
    </row>
    <row r="9" spans="5:10" ht="12.75">
      <c r="E9" s="124" t="s">
        <v>150</v>
      </c>
      <c r="F9" s="125">
        <f>'Dateneingabe und Ergebnisse'!I33*100</f>
        <v>0</v>
      </c>
      <c r="G9" s="101"/>
      <c r="I9" s="124" t="s">
        <v>150</v>
      </c>
      <c r="J9" s="125">
        <f>F9</f>
        <v>0</v>
      </c>
    </row>
    <row r="10" spans="5:10" ht="12.75">
      <c r="E10" s="124" t="s">
        <v>151</v>
      </c>
      <c r="F10" s="125">
        <f>'Dateneingabe und Ergebnisse'!I34*100</f>
        <v>0</v>
      </c>
      <c r="I10" s="124" t="s">
        <v>151</v>
      </c>
      <c r="J10" s="125">
        <f>F10</f>
        <v>0</v>
      </c>
    </row>
    <row r="11" spans="5:10" ht="12.75">
      <c r="E11" s="124" t="s">
        <v>152</v>
      </c>
      <c r="F11" s="103">
        <f>F9*F7</f>
        <v>0</v>
      </c>
      <c r="I11" s="124" t="s">
        <v>152</v>
      </c>
      <c r="J11" s="103">
        <f>J9*J7</f>
        <v>0</v>
      </c>
    </row>
    <row r="12" spans="5:10" ht="12.75">
      <c r="E12" s="124" t="s">
        <v>153</v>
      </c>
      <c r="F12" s="103">
        <f>F8*F10</f>
        <v>0</v>
      </c>
      <c r="I12" s="124" t="s">
        <v>153</v>
      </c>
      <c r="J12" s="103">
        <f>J8*J10</f>
        <v>0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0</v>
      </c>
      <c r="I14" s="101" t="s">
        <v>154</v>
      </c>
      <c r="J14" s="102">
        <f>(J12+J11)/100*(-1)</f>
        <v>0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0</v>
      </c>
      <c r="D2" s="22"/>
      <c r="E2" s="6" t="e">
        <f>C2-('Dateneingabe und Ergebnisse'!F11)/'Dateneingabe und Ergebnisse'!F23*10000</f>
        <v>#DIV/0!</v>
      </c>
      <c r="G2" s="22"/>
      <c r="H2" s="22"/>
      <c r="I2" s="22"/>
    </row>
    <row r="3" spans="1:9" ht="15" customHeight="1">
      <c r="A3" t="s">
        <v>211</v>
      </c>
      <c r="C3" s="106">
        <f>'Variante A'!B5</f>
        <v>0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 t="e">
        <f>'Variante A'!B113</f>
        <v>#DIV/0!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 t="e">
        <f>IF(C6&gt;C5,C6-C5,0)</f>
        <v>#DIV/0!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 t="e">
        <f>IF(C5&gt;'Variante F 1-2'!B123,E37,E38)</f>
        <v>#DIV/0!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 t="e">
        <f>IF(C7=0,0,C25+C28+C26*C7+C29*C7)</f>
        <v>#DIV/0!</v>
      </c>
      <c r="D10" s="48" t="s">
        <v>237</v>
      </c>
      <c r="I10" s="22"/>
    </row>
    <row r="11" spans="1:9" ht="12.75">
      <c r="A11" s="160"/>
      <c r="B11" s="48" t="s">
        <v>262</v>
      </c>
      <c r="C11" s="163" t="e">
        <f>IF(C7=0,0,C10/C7)</f>
        <v>#DIV/0!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e">
        <f>C28+C29*C7</f>
        <v>#DIV/0!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 t="e">
        <f>IF(E2&gt;F4,C34-(C34-C36)/(F3-F4)*E2,C34)</f>
        <v>#DIV/0!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 t="e">
        <f>IF(C36&gt;E35,C36,E35)</f>
        <v>#DIV/0!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 t="e">
        <f>IF(E2&lt;0,0,C40*E2)</f>
        <v>#DIV/0!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2012-10-25T09:51:05Z</dcterms:modified>
  <cp:category/>
  <cp:version/>
  <cp:contentType/>
  <cp:contentStatus/>
</cp:coreProperties>
</file>